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-945" yWindow="-255" windowWidth="15480" windowHeight="6030" tabRatio="898" firstSheet="1" activeTab="11"/>
  </bookViews>
  <sheets>
    <sheet name="Tacoa Consolidated" sheetId="6" state="hidden" r:id="rId1"/>
    <sheet name="VEF Invoicing Summary" sheetId="8" r:id="rId2"/>
    <sheet name="Summary Data" sheetId="7" r:id="rId3"/>
    <sheet name="Change Order Summary" sheetId="9" r:id="rId4"/>
    <sheet name="Datos" sheetId="10" state="hidden" r:id="rId5"/>
    <sheet name="Tacoa 2500" sheetId="2" r:id="rId6"/>
    <sheet name="Tacoa 6000" sheetId="1" r:id="rId7"/>
    <sheet name="La Raisa" sheetId="3" r:id="rId8"/>
    <sheet name="Termozulia" sheetId="4" r:id="rId9"/>
    <sheet name="Guarenas" sheetId="5" r:id="rId10"/>
    <sheet name="Las Morochas" sheetId="12" r:id="rId11"/>
    <sheet name="Furrial" sheetId="15" r:id="rId12"/>
  </sheets>
  <externalReferences>
    <externalReference r:id="rId13"/>
  </externalReferences>
  <definedNames>
    <definedName name="_xlnm.Print_Area" localSheetId="7">'La Raisa'!$A$5:$E$101</definedName>
    <definedName name="_xlnm.Print_Area" localSheetId="5">'Tacoa 2500'!$A$6:$E$76</definedName>
    <definedName name="_xlnm.Print_Area" localSheetId="6">'Tacoa 6000'!$A$6:$E$76</definedName>
  </definedNames>
  <calcPr calcId="145621"/>
  <pivotCaches>
    <pivotCache cacheId="0" r:id="rId14"/>
    <pivotCache cacheId="1" r:id="rId15"/>
  </pivotCaches>
</workbook>
</file>

<file path=xl/calcChain.xml><?xml version="1.0" encoding="utf-8"?>
<calcChain xmlns="http://schemas.openxmlformats.org/spreadsheetml/2006/main">
  <c r="M47" i="7" l="1"/>
  <c r="B22" i="4"/>
  <c r="B19" i="4"/>
  <c r="B15" i="4"/>
  <c r="B16" i="4"/>
  <c r="B11" i="4"/>
  <c r="B12" i="4" s="1"/>
  <c r="N64" i="7"/>
  <c r="K65" i="7"/>
  <c r="K64" i="7"/>
  <c r="K63" i="7"/>
  <c r="L63" i="7" s="1"/>
  <c r="N63" i="7" s="1"/>
  <c r="K62" i="7"/>
  <c r="K61" i="7"/>
  <c r="J65" i="7"/>
  <c r="J63" i="7"/>
  <c r="J62" i="7"/>
  <c r="L62" i="7" s="1"/>
  <c r="N62" i="7" s="1"/>
  <c r="J61" i="7"/>
  <c r="L61" i="7" s="1"/>
  <c r="N61" i="7" s="1"/>
  <c r="J64" i="7"/>
  <c r="L64" i="7" s="1"/>
  <c r="F60" i="7"/>
  <c r="I60" i="7" s="1"/>
  <c r="K30" i="10"/>
  <c r="K28" i="10"/>
  <c r="K26" i="10"/>
  <c r="J30" i="10"/>
  <c r="J29" i="10"/>
  <c r="K29" i="10" s="1"/>
  <c r="J28" i="10"/>
  <c r="J27" i="10"/>
  <c r="K27" i="10" s="1"/>
  <c r="J26" i="10"/>
  <c r="M54" i="7"/>
  <c r="G54" i="7"/>
  <c r="F55" i="7"/>
  <c r="K54" i="15"/>
  <c r="C54" i="15"/>
  <c r="L52" i="15"/>
  <c r="L51" i="15"/>
  <c r="L50" i="15"/>
  <c r="L49" i="15"/>
  <c r="D48" i="15"/>
  <c r="D47" i="15"/>
  <c r="D46" i="15"/>
  <c r="D45" i="15"/>
  <c r="E49" i="15"/>
  <c r="F59" i="7" s="1"/>
  <c r="D44" i="15"/>
  <c r="L42" i="15"/>
  <c r="L41" i="15"/>
  <c r="L40" i="15"/>
  <c r="L39" i="15"/>
  <c r="D38" i="15"/>
  <c r="D36" i="15"/>
  <c r="D34" i="15"/>
  <c r="D33" i="15"/>
  <c r="L31" i="15"/>
  <c r="L30" i="15"/>
  <c r="L29" i="15"/>
  <c r="L28" i="15"/>
  <c r="D27" i="15"/>
  <c r="D26" i="15"/>
  <c r="L24" i="15"/>
  <c r="L23" i="15"/>
  <c r="L22" i="15"/>
  <c r="L21" i="15"/>
  <c r="D20" i="15"/>
  <c r="D19" i="15"/>
  <c r="D13" i="15"/>
  <c r="D12" i="15"/>
  <c r="K10" i="15"/>
  <c r="D7" i="15"/>
  <c r="E7" i="15"/>
  <c r="F54" i="7" s="1"/>
  <c r="M49" i="7"/>
  <c r="G49" i="7"/>
  <c r="G48" i="7"/>
  <c r="C54" i="12"/>
  <c r="L52" i="12"/>
  <c r="L51" i="12"/>
  <c r="L50" i="12"/>
  <c r="L49" i="12"/>
  <c r="D48" i="12"/>
  <c r="D47" i="12"/>
  <c r="D46" i="12"/>
  <c r="D45" i="12"/>
  <c r="D44" i="12"/>
  <c r="L42" i="12"/>
  <c r="L41" i="12"/>
  <c r="L40" i="12"/>
  <c r="L39" i="12"/>
  <c r="D38" i="12"/>
  <c r="D36" i="12"/>
  <c r="D34" i="12"/>
  <c r="D33" i="12"/>
  <c r="L31" i="12"/>
  <c r="L30" i="12"/>
  <c r="L29" i="12"/>
  <c r="L28" i="12"/>
  <c r="D27" i="12"/>
  <c r="D26" i="12"/>
  <c r="L24" i="12"/>
  <c r="L23" i="12"/>
  <c r="L22" i="12"/>
  <c r="L21" i="12"/>
  <c r="D20" i="12"/>
  <c r="D19" i="12"/>
  <c r="D13" i="12"/>
  <c r="D12" i="12"/>
  <c r="D7" i="12"/>
  <c r="E7" i="12"/>
  <c r="E9" i="12" s="1"/>
  <c r="J47" i="7"/>
  <c r="F47" i="7"/>
  <c r="I47" i="7" s="1"/>
  <c r="H24" i="7"/>
  <c r="N43" i="7"/>
  <c r="K46" i="7"/>
  <c r="J46" i="7"/>
  <c r="L46" i="7" s="1"/>
  <c r="N46" i="7" s="1"/>
  <c r="K45" i="7"/>
  <c r="L45" i="7" s="1"/>
  <c r="N45" i="7" s="1"/>
  <c r="J45" i="7"/>
  <c r="K44" i="7"/>
  <c r="J44" i="7"/>
  <c r="L44" i="7" s="1"/>
  <c r="N44" i="7" s="1"/>
  <c r="K43" i="7"/>
  <c r="L43" i="7" s="1"/>
  <c r="J43" i="7"/>
  <c r="H26" i="7"/>
  <c r="H25" i="7"/>
  <c r="H34" i="7"/>
  <c r="H31" i="7"/>
  <c r="H23" i="7"/>
  <c r="H22" i="7"/>
  <c r="H17" i="7"/>
  <c r="H16" i="7"/>
  <c r="H15" i="7"/>
  <c r="H14" i="7"/>
  <c r="H9" i="7"/>
  <c r="H8" i="7"/>
  <c r="H7" i="7"/>
  <c r="H6" i="7"/>
  <c r="I24" i="10"/>
  <c r="J24" i="10" s="1"/>
  <c r="I19" i="10"/>
  <c r="J19" i="10" s="1"/>
  <c r="I17" i="10"/>
  <c r="J17" i="10" s="1"/>
  <c r="I15" i="10"/>
  <c r="J15" i="10" s="1"/>
  <c r="J98" i="3"/>
  <c r="J97" i="3"/>
  <c r="J99" i="3" s="1"/>
  <c r="L99" i="3"/>
  <c r="J87" i="3"/>
  <c r="J86" i="3"/>
  <c r="J88" i="3" s="1"/>
  <c r="L88" i="3" s="1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M42" i="7"/>
  <c r="M41" i="7"/>
  <c r="M40" i="7"/>
  <c r="M39" i="7"/>
  <c r="M38" i="7"/>
  <c r="M37" i="7"/>
  <c r="M36" i="7"/>
  <c r="M35" i="7"/>
  <c r="G18" i="4"/>
  <c r="M30" i="7"/>
  <c r="M29" i="7"/>
  <c r="M28" i="7"/>
  <c r="M27" i="7"/>
  <c r="M21" i="7"/>
  <c r="M20" i="7"/>
  <c r="M19" i="7"/>
  <c r="M13" i="7"/>
  <c r="M12" i="7"/>
  <c r="M11" i="7"/>
  <c r="M33" i="7"/>
  <c r="I42" i="7"/>
  <c r="K42" i="7" s="1"/>
  <c r="I41" i="7"/>
  <c r="I40" i="7"/>
  <c r="K40" i="7" s="1"/>
  <c r="I39" i="7"/>
  <c r="I38" i="7"/>
  <c r="K38" i="7" s="1"/>
  <c r="I37" i="7"/>
  <c r="I36" i="7"/>
  <c r="K36" i="7"/>
  <c r="I14" i="7"/>
  <c r="I6" i="7"/>
  <c r="K6" i="7" s="1"/>
  <c r="I30" i="7"/>
  <c r="I29" i="7"/>
  <c r="K29" i="7" s="1"/>
  <c r="J40" i="3"/>
  <c r="L40" i="5"/>
  <c r="L54" i="5"/>
  <c r="L56" i="5"/>
  <c r="L62" i="5"/>
  <c r="L64" i="5"/>
  <c r="L79" i="5"/>
  <c r="L81" i="5"/>
  <c r="L89" i="5"/>
  <c r="L91" i="5"/>
  <c r="L90" i="5"/>
  <c r="L88" i="5"/>
  <c r="L80" i="5"/>
  <c r="L78" i="5"/>
  <c r="L63" i="5"/>
  <c r="L61" i="5"/>
  <c r="L55" i="5"/>
  <c r="L53" i="5"/>
  <c r="L39" i="5"/>
  <c r="L38" i="5"/>
  <c r="L37" i="5"/>
  <c r="L30" i="5"/>
  <c r="L29" i="5"/>
  <c r="L28" i="5"/>
  <c r="L27" i="5"/>
  <c r="L24" i="5"/>
  <c r="L23" i="5"/>
  <c r="L22" i="5"/>
  <c r="L21" i="5"/>
  <c r="G14" i="4"/>
  <c r="G10" i="4"/>
  <c r="G11" i="4" s="1"/>
  <c r="L98" i="3"/>
  <c r="L97" i="3"/>
  <c r="L96" i="3"/>
  <c r="L87" i="3"/>
  <c r="L85" i="3"/>
  <c r="K62" i="1"/>
  <c r="K61" i="1"/>
  <c r="K53" i="1"/>
  <c r="K33" i="1"/>
  <c r="K62" i="2"/>
  <c r="K34" i="2"/>
  <c r="K17" i="2"/>
  <c r="K13" i="2"/>
  <c r="F35" i="7"/>
  <c r="F33" i="7"/>
  <c r="F32" i="7"/>
  <c r="F31" i="7"/>
  <c r="M53" i="1"/>
  <c r="K45" i="1"/>
  <c r="K43" i="1"/>
  <c r="K42" i="1"/>
  <c r="K41" i="1"/>
  <c r="K27" i="1"/>
  <c r="K26" i="1"/>
  <c r="K25" i="1"/>
  <c r="K28" i="1" s="1"/>
  <c r="K9" i="1"/>
  <c r="K43" i="2"/>
  <c r="K42" i="2"/>
  <c r="K41" i="2"/>
  <c r="K27" i="2"/>
  <c r="K26" i="2"/>
  <c r="K25" i="2"/>
  <c r="K10" i="2"/>
  <c r="K11" i="2" s="1"/>
  <c r="L48" i="1"/>
  <c r="M18" i="7" s="1"/>
  <c r="L48" i="2"/>
  <c r="M10" i="7" s="1"/>
  <c r="G38" i="6"/>
  <c r="G37" i="6"/>
  <c r="C101" i="3"/>
  <c r="L38" i="1"/>
  <c r="L39" i="1" s="1"/>
  <c r="M17" i="7" s="1"/>
  <c r="L37" i="1"/>
  <c r="L38" i="2"/>
  <c r="L37" i="2"/>
  <c r="L39" i="2" s="1"/>
  <c r="M9" i="7" s="1"/>
  <c r="G83" i="6"/>
  <c r="L55" i="6"/>
  <c r="G46" i="6"/>
  <c r="G45" i="6"/>
  <c r="G47" i="6" s="1"/>
  <c r="G31" i="6"/>
  <c r="G30" i="6"/>
  <c r="G29" i="6"/>
  <c r="L17" i="6"/>
  <c r="L19" i="6"/>
  <c r="G18" i="6"/>
  <c r="G85" i="6" s="1"/>
  <c r="G17" i="6"/>
  <c r="G84" i="6" s="1"/>
  <c r="H45" i="6"/>
  <c r="D83" i="6"/>
  <c r="E77" i="6"/>
  <c r="E76" i="6"/>
  <c r="F78" i="6" s="1"/>
  <c r="E75" i="6"/>
  <c r="E69" i="6"/>
  <c r="E68" i="6"/>
  <c r="E67" i="6"/>
  <c r="F70" i="6" s="1"/>
  <c r="E66" i="6"/>
  <c r="E65" i="6"/>
  <c r="E59" i="6"/>
  <c r="E58" i="6"/>
  <c r="F60" i="6" s="1"/>
  <c r="E57" i="6"/>
  <c r="E51" i="6"/>
  <c r="E50" i="6"/>
  <c r="E49" i="6"/>
  <c r="E43" i="6"/>
  <c r="E42" i="6"/>
  <c r="E41" i="6"/>
  <c r="E35" i="6"/>
  <c r="F36" i="6" s="1"/>
  <c r="E34" i="6"/>
  <c r="E33" i="6"/>
  <c r="E27" i="6"/>
  <c r="E26" i="6"/>
  <c r="E25" i="6"/>
  <c r="E24" i="6"/>
  <c r="E23" i="6"/>
  <c r="E22" i="6"/>
  <c r="F28" i="6" s="1"/>
  <c r="E21" i="6"/>
  <c r="E16" i="6"/>
  <c r="F16" i="6" s="1"/>
  <c r="K95" i="5"/>
  <c r="K94" i="5"/>
  <c r="K93" i="5"/>
  <c r="K10" i="5"/>
  <c r="M34" i="7" s="1"/>
  <c r="K19" i="3"/>
  <c r="K7" i="3"/>
  <c r="K8" i="3"/>
  <c r="C93" i="5"/>
  <c r="C76" i="1"/>
  <c r="D20" i="5"/>
  <c r="D7" i="5"/>
  <c r="E7" i="5" s="1"/>
  <c r="D12" i="5"/>
  <c r="E14" i="5" s="1"/>
  <c r="D13" i="5"/>
  <c r="D19" i="5"/>
  <c r="E21" i="5" s="1"/>
  <c r="E22" i="5" s="1"/>
  <c r="D25" i="5"/>
  <c r="E27" i="5" s="1"/>
  <c r="D26" i="5"/>
  <c r="D32" i="5"/>
  <c r="E37" i="5" s="1"/>
  <c r="D36" i="5"/>
  <c r="D42" i="5"/>
  <c r="D43" i="5"/>
  <c r="D45" i="5"/>
  <c r="D47" i="5"/>
  <c r="D48" i="5"/>
  <c r="D49" i="5"/>
  <c r="D50" i="5"/>
  <c r="D51" i="5"/>
  <c r="D52" i="5"/>
  <c r="D58" i="5"/>
  <c r="D59" i="5"/>
  <c r="E61" i="5" s="1"/>
  <c r="E62" i="5" s="1"/>
  <c r="D60" i="5"/>
  <c r="D66" i="5"/>
  <c r="D67" i="5"/>
  <c r="D69" i="5"/>
  <c r="D70" i="5"/>
  <c r="D72" i="5"/>
  <c r="D73" i="5"/>
  <c r="D74" i="5"/>
  <c r="D75" i="5"/>
  <c r="D76" i="5"/>
  <c r="D77" i="5"/>
  <c r="D83" i="5"/>
  <c r="D84" i="5"/>
  <c r="D85" i="5"/>
  <c r="D86" i="5"/>
  <c r="D87" i="5"/>
  <c r="D95" i="3"/>
  <c r="D94" i="3"/>
  <c r="D93" i="3"/>
  <c r="D92" i="3"/>
  <c r="D91" i="3"/>
  <c r="D90" i="3"/>
  <c r="D84" i="3"/>
  <c r="D83" i="3"/>
  <c r="D82" i="3"/>
  <c r="D81" i="3"/>
  <c r="D80" i="3"/>
  <c r="D79" i="3"/>
  <c r="D77" i="3"/>
  <c r="D76" i="3"/>
  <c r="D74" i="3"/>
  <c r="D73" i="3"/>
  <c r="E85" i="3" s="1"/>
  <c r="D67" i="3"/>
  <c r="J67" i="3"/>
  <c r="D66" i="3"/>
  <c r="J66" i="3"/>
  <c r="D65" i="3"/>
  <c r="J65" i="3"/>
  <c r="D59" i="3"/>
  <c r="J59" i="3"/>
  <c r="D58" i="3"/>
  <c r="J58" i="3" s="1"/>
  <c r="D57" i="3"/>
  <c r="J57" i="3" s="1"/>
  <c r="D56" i="3"/>
  <c r="J56" i="3" s="1"/>
  <c r="D55" i="3"/>
  <c r="J55" i="3"/>
  <c r="D54" i="3"/>
  <c r="J54" i="3" s="1"/>
  <c r="D52" i="3"/>
  <c r="J52" i="3" s="1"/>
  <c r="D50" i="3"/>
  <c r="J50" i="3" s="1"/>
  <c r="D49" i="3"/>
  <c r="J49" i="3"/>
  <c r="D48" i="3"/>
  <c r="J48" i="3" s="1"/>
  <c r="D47" i="3"/>
  <c r="J47" i="3" s="1"/>
  <c r="J60" i="3"/>
  <c r="L60" i="3" s="1"/>
  <c r="D41" i="3"/>
  <c r="J41" i="3"/>
  <c r="D39" i="3"/>
  <c r="J39" i="3"/>
  <c r="D38" i="3"/>
  <c r="J38" i="3"/>
  <c r="D37" i="3"/>
  <c r="J37" i="3"/>
  <c r="J42" i="3" s="1"/>
  <c r="L42" i="3" s="1"/>
  <c r="D36" i="3"/>
  <c r="J36" i="3"/>
  <c r="D30" i="3"/>
  <c r="J30" i="3"/>
  <c r="D29" i="3"/>
  <c r="J29" i="3"/>
  <c r="D24" i="3"/>
  <c r="E24" i="3"/>
  <c r="E25" i="3" s="1"/>
  <c r="D18" i="3"/>
  <c r="J18" i="3"/>
  <c r="D17" i="3"/>
  <c r="J17" i="3"/>
  <c r="D16" i="3"/>
  <c r="J16" i="3"/>
  <c r="D15" i="3"/>
  <c r="J15" i="3"/>
  <c r="D14" i="3"/>
  <c r="J14" i="3"/>
  <c r="D13" i="3"/>
  <c r="J13" i="3"/>
  <c r="J19" i="3" s="1"/>
  <c r="D12" i="3"/>
  <c r="J12" i="3"/>
  <c r="D7" i="3"/>
  <c r="E7" i="3"/>
  <c r="E9" i="3" s="1"/>
  <c r="C76" i="2"/>
  <c r="D70" i="2"/>
  <c r="K70" i="2" s="1"/>
  <c r="D69" i="2"/>
  <c r="K69" i="2" s="1"/>
  <c r="D68" i="2"/>
  <c r="K68" i="2" s="1"/>
  <c r="K71" i="2" s="1"/>
  <c r="D62" i="2"/>
  <c r="D61" i="2"/>
  <c r="K61" i="2" s="1"/>
  <c r="D60" i="2"/>
  <c r="K60" i="2" s="1"/>
  <c r="D59" i="2"/>
  <c r="D58" i="2"/>
  <c r="K58" i="2" s="1"/>
  <c r="D52" i="2"/>
  <c r="K52" i="2" s="1"/>
  <c r="D51" i="2"/>
  <c r="K51" i="2" s="1"/>
  <c r="E53" i="2"/>
  <c r="D50" i="2"/>
  <c r="K50" i="2" s="1"/>
  <c r="D43" i="2"/>
  <c r="D42" i="2"/>
  <c r="D41" i="2"/>
  <c r="E45" i="2" s="1"/>
  <c r="D35" i="2"/>
  <c r="K35" i="2" s="1"/>
  <c r="D34" i="2"/>
  <c r="D33" i="2"/>
  <c r="K33" i="2" s="1"/>
  <c r="K36" i="2" s="1"/>
  <c r="K37" i="2" s="1"/>
  <c r="M37" i="2" s="1"/>
  <c r="D27" i="2"/>
  <c r="E28" i="2" s="1"/>
  <c r="D26" i="2"/>
  <c r="D25" i="2"/>
  <c r="D19" i="2"/>
  <c r="K19" i="2" s="1"/>
  <c r="D18" i="2"/>
  <c r="K18" i="2" s="1"/>
  <c r="D17" i="2"/>
  <c r="D16" i="2"/>
  <c r="K16" i="2" s="1"/>
  <c r="D15" i="2"/>
  <c r="K15" i="2" s="1"/>
  <c r="D14" i="2"/>
  <c r="K14" i="2" s="1"/>
  <c r="D13" i="2"/>
  <c r="D8" i="2"/>
  <c r="E8" i="2" s="1"/>
  <c r="L71" i="1"/>
  <c r="D70" i="1"/>
  <c r="K70" i="1" s="1"/>
  <c r="D69" i="1"/>
  <c r="D68" i="1"/>
  <c r="K68" i="1" s="1"/>
  <c r="D62" i="1"/>
  <c r="D61" i="1"/>
  <c r="D60" i="1"/>
  <c r="K60" i="1" s="1"/>
  <c r="D59" i="1"/>
  <c r="K59" i="1" s="1"/>
  <c r="D58" i="1"/>
  <c r="K58" i="1" s="1"/>
  <c r="K63" i="1" s="1"/>
  <c r="L53" i="1"/>
  <c r="D52" i="1"/>
  <c r="K52" i="1" s="1"/>
  <c r="D51" i="1"/>
  <c r="K51" i="1" s="1"/>
  <c r="D50" i="1"/>
  <c r="K50" i="1" s="1"/>
  <c r="D43" i="1"/>
  <c r="E45" i="1" s="1"/>
  <c r="E47" i="1" s="1"/>
  <c r="E48" i="1" s="1"/>
  <c r="D42" i="1"/>
  <c r="D41" i="1"/>
  <c r="D35" i="1"/>
  <c r="K35" i="1" s="1"/>
  <c r="D34" i="1"/>
  <c r="K34" i="1" s="1"/>
  <c r="D33" i="1"/>
  <c r="D27" i="1"/>
  <c r="D26" i="1"/>
  <c r="E28" i="1" s="1"/>
  <c r="D25" i="1"/>
  <c r="D19" i="1"/>
  <c r="K19" i="1" s="1"/>
  <c r="D18" i="1"/>
  <c r="K18" i="1" s="1"/>
  <c r="D17" i="1"/>
  <c r="K17" i="1" s="1"/>
  <c r="D16" i="1"/>
  <c r="K16" i="1" s="1"/>
  <c r="D15" i="1"/>
  <c r="K15" i="1" s="1"/>
  <c r="D14" i="1"/>
  <c r="K14" i="1" s="1"/>
  <c r="D13" i="1"/>
  <c r="D8" i="1"/>
  <c r="E8" i="1" s="1"/>
  <c r="F14" i="7" s="1"/>
  <c r="F44" i="6"/>
  <c r="F45" i="6" s="1"/>
  <c r="F52" i="6"/>
  <c r="F46" i="6"/>
  <c r="H46" i="6" s="1"/>
  <c r="F18" i="6"/>
  <c r="E78" i="5"/>
  <c r="E88" i="5"/>
  <c r="E36" i="2"/>
  <c r="E71" i="2"/>
  <c r="H18" i="6"/>
  <c r="M18" i="6" s="1"/>
  <c r="F47" i="6"/>
  <c r="E15" i="5"/>
  <c r="J15" i="5" s="1"/>
  <c r="L15" i="5" s="1"/>
  <c r="E38" i="2"/>
  <c r="E72" i="2"/>
  <c r="M45" i="1"/>
  <c r="K10" i="1"/>
  <c r="E31" i="3"/>
  <c r="E42" i="3"/>
  <c r="F26" i="7" s="1"/>
  <c r="E60" i="3"/>
  <c r="E8" i="5"/>
  <c r="J8" i="5" s="1"/>
  <c r="E38" i="5"/>
  <c r="K96" i="5"/>
  <c r="E53" i="5"/>
  <c r="E54" i="5" s="1"/>
  <c r="E19" i="3"/>
  <c r="E21" i="3" s="1"/>
  <c r="J21" i="3" s="1"/>
  <c r="L21" i="3" s="1"/>
  <c r="F23" i="7"/>
  <c r="E37" i="2"/>
  <c r="E39" i="2" s="1"/>
  <c r="E10" i="2"/>
  <c r="L8" i="1"/>
  <c r="E63" i="1"/>
  <c r="E46" i="1"/>
  <c r="E9" i="1"/>
  <c r="L9" i="1" s="1"/>
  <c r="L29" i="2"/>
  <c r="L30" i="2"/>
  <c r="L31" i="2" s="1"/>
  <c r="M8" i="7" s="1"/>
  <c r="L30" i="1"/>
  <c r="L29" i="1"/>
  <c r="K9" i="3"/>
  <c r="K10" i="3" s="1"/>
  <c r="M22" i="7" s="1"/>
  <c r="K20" i="3"/>
  <c r="K21" i="3"/>
  <c r="K22" i="3"/>
  <c r="M23" i="7" s="1"/>
  <c r="J14" i="7"/>
  <c r="L14" i="7" s="1"/>
  <c r="J29" i="7"/>
  <c r="J30" i="7"/>
  <c r="L30" i="7" s="1"/>
  <c r="N30" i="7" s="1"/>
  <c r="J36" i="7"/>
  <c r="J37" i="7"/>
  <c r="L37" i="7" s="1"/>
  <c r="N37" i="7" s="1"/>
  <c r="J38" i="7"/>
  <c r="L38" i="7" s="1"/>
  <c r="N38" i="7" s="1"/>
  <c r="J39" i="7"/>
  <c r="L39" i="7" s="1"/>
  <c r="N39" i="7" s="1"/>
  <c r="J40" i="7"/>
  <c r="L40" i="7" s="1"/>
  <c r="N40" i="7" s="1"/>
  <c r="J41" i="7"/>
  <c r="J42" i="7"/>
  <c r="L42" i="7" s="1"/>
  <c r="N42" i="7" s="1"/>
  <c r="L36" i="7"/>
  <c r="N36" i="7" s="1"/>
  <c r="K14" i="7"/>
  <c r="K30" i="7"/>
  <c r="K37" i="7"/>
  <c r="K39" i="7"/>
  <c r="K41" i="7"/>
  <c r="L41" i="7" s="1"/>
  <c r="N41" i="7" s="1"/>
  <c r="J6" i="7"/>
  <c r="F22" i="7"/>
  <c r="E68" i="3"/>
  <c r="F24" i="7"/>
  <c r="E20" i="3"/>
  <c r="J20" i="3" s="1"/>
  <c r="L20" i="3" s="1"/>
  <c r="F28" i="7"/>
  <c r="E70" i="3"/>
  <c r="J70" i="3" s="1"/>
  <c r="L70" i="3" s="1"/>
  <c r="E69" i="3"/>
  <c r="E71" i="3" s="1"/>
  <c r="J71" i="3" s="1"/>
  <c r="L71" i="3" s="1"/>
  <c r="J69" i="3"/>
  <c r="L69" i="3" s="1"/>
  <c r="E22" i="3"/>
  <c r="J22" i="3" s="1"/>
  <c r="L22" i="3" s="1"/>
  <c r="I26" i="7"/>
  <c r="E14" i="15"/>
  <c r="E21" i="15"/>
  <c r="E23" i="15"/>
  <c r="E28" i="15"/>
  <c r="E39" i="15"/>
  <c r="F58" i="7" s="1"/>
  <c r="E41" i="15"/>
  <c r="E16" i="15"/>
  <c r="L16" i="15"/>
  <c r="L17" i="15"/>
  <c r="E15" i="15"/>
  <c r="L15" i="15"/>
  <c r="L14" i="15"/>
  <c r="E22" i="15"/>
  <c r="E40" i="15"/>
  <c r="E42" i="15" s="1"/>
  <c r="E51" i="15"/>
  <c r="E50" i="15"/>
  <c r="E9" i="15"/>
  <c r="J9" i="15"/>
  <c r="L9" i="15" s="1"/>
  <c r="J7" i="15"/>
  <c r="I54" i="7" s="1"/>
  <c r="E8" i="15"/>
  <c r="J8" i="15"/>
  <c r="L8" i="15" s="1"/>
  <c r="K55" i="15"/>
  <c r="K56" i="15"/>
  <c r="E39" i="12"/>
  <c r="E21" i="12"/>
  <c r="F50" i="7" s="1"/>
  <c r="E23" i="12"/>
  <c r="E49" i="12"/>
  <c r="E14" i="12"/>
  <c r="E16" i="12" s="1"/>
  <c r="J16" i="12" s="1"/>
  <c r="L16" i="12" s="1"/>
  <c r="E28" i="12"/>
  <c r="J7" i="12"/>
  <c r="E8" i="12"/>
  <c r="E10" i="12"/>
  <c r="E10" i="15"/>
  <c r="J10" i="15"/>
  <c r="L10" i="15" s="1"/>
  <c r="E52" i="15"/>
  <c r="J54" i="15"/>
  <c r="L7" i="15"/>
  <c r="L54" i="15" s="1"/>
  <c r="E22" i="12"/>
  <c r="E24" i="12"/>
  <c r="J8" i="12"/>
  <c r="J55" i="15"/>
  <c r="I31" i="7"/>
  <c r="L31" i="7" s="1"/>
  <c r="J60" i="7"/>
  <c r="L60" i="7"/>
  <c r="N60" i="7"/>
  <c r="F52" i="7" l="1"/>
  <c r="E42" i="12"/>
  <c r="E41" i="12"/>
  <c r="O28" i="1"/>
  <c r="E30" i="1"/>
  <c r="E31" i="1" s="1"/>
  <c r="E29" i="1"/>
  <c r="F16" i="7"/>
  <c r="L55" i="15"/>
  <c r="L57" i="15" s="1"/>
  <c r="L56" i="15"/>
  <c r="F37" i="7"/>
  <c r="E29" i="5"/>
  <c r="E30" i="5" s="1"/>
  <c r="E28" i="5"/>
  <c r="F49" i="7"/>
  <c r="E15" i="12"/>
  <c r="J15" i="12" s="1"/>
  <c r="L15" i="12" s="1"/>
  <c r="J14" i="12"/>
  <c r="E86" i="3"/>
  <c r="F29" i="7"/>
  <c r="E87" i="3"/>
  <c r="E88" i="3"/>
  <c r="E40" i="12"/>
  <c r="F57" i="7"/>
  <c r="E54" i="15"/>
  <c r="E29" i="15"/>
  <c r="E31" i="15" s="1"/>
  <c r="E30" i="15"/>
  <c r="M9" i="1"/>
  <c r="J57" i="15"/>
  <c r="J26" i="7"/>
  <c r="L26" i="7" s="1"/>
  <c r="K26" i="7"/>
  <c r="E74" i="2"/>
  <c r="F8" i="7"/>
  <c r="E30" i="2"/>
  <c r="E29" i="2"/>
  <c r="E31" i="2" s="1"/>
  <c r="K73" i="2"/>
  <c r="M73" i="2" s="1"/>
  <c r="I13" i="7"/>
  <c r="K74" i="2"/>
  <c r="M74" i="2" s="1"/>
  <c r="M71" i="2"/>
  <c r="K72" i="2"/>
  <c r="M72" i="2" s="1"/>
  <c r="J9" i="3"/>
  <c r="I23" i="7"/>
  <c r="L19" i="3"/>
  <c r="F29" i="6"/>
  <c r="H29" i="6" s="1"/>
  <c r="H28" i="6"/>
  <c r="F30" i="6"/>
  <c r="F83" i="6"/>
  <c r="F62" i="6"/>
  <c r="H62" i="6" s="1"/>
  <c r="M62" i="6" s="1"/>
  <c r="H60" i="6"/>
  <c r="M60" i="6" s="1"/>
  <c r="F61" i="6"/>
  <c r="H61" i="6" s="1"/>
  <c r="M61" i="6" s="1"/>
  <c r="F63" i="6"/>
  <c r="H63" i="6" s="1"/>
  <c r="M63" i="6" s="1"/>
  <c r="M28" i="1"/>
  <c r="K30" i="1"/>
  <c r="M30" i="1" s="1"/>
  <c r="K29" i="1"/>
  <c r="M29" i="1" s="1"/>
  <c r="I16" i="7"/>
  <c r="E64" i="1"/>
  <c r="E65" i="1"/>
  <c r="E66" i="1"/>
  <c r="F27" i="7"/>
  <c r="E61" i="3"/>
  <c r="J61" i="3" s="1"/>
  <c r="L61" i="3" s="1"/>
  <c r="F42" i="7"/>
  <c r="E91" i="5"/>
  <c r="E89" i="5"/>
  <c r="H52" i="6"/>
  <c r="M52" i="6" s="1"/>
  <c r="F53" i="6"/>
  <c r="H53" i="6" s="1"/>
  <c r="M53" i="6" s="1"/>
  <c r="F55" i="6"/>
  <c r="H55" i="6" s="1"/>
  <c r="M55" i="6" s="1"/>
  <c r="K13" i="1"/>
  <c r="K20" i="1" s="1"/>
  <c r="E20" i="1"/>
  <c r="F11" i="7"/>
  <c r="E54" i="2"/>
  <c r="E56" i="2" s="1"/>
  <c r="F39" i="6"/>
  <c r="H39" i="6" s="1"/>
  <c r="F38" i="6"/>
  <c r="H38" i="6" s="1"/>
  <c r="H70" i="6"/>
  <c r="M70" i="6" s="1"/>
  <c r="E29" i="12"/>
  <c r="E30" i="12"/>
  <c r="E31" i="12" s="1"/>
  <c r="J7" i="3"/>
  <c r="M8" i="1"/>
  <c r="L11" i="1"/>
  <c r="M14" i="7" s="1"/>
  <c r="N14" i="7" s="1"/>
  <c r="E80" i="5"/>
  <c r="F41" i="7"/>
  <c r="K64" i="1"/>
  <c r="M64" i="1" s="1"/>
  <c r="I20" i="7"/>
  <c r="M63" i="1"/>
  <c r="K65" i="1"/>
  <c r="M65" i="1" s="1"/>
  <c r="K66" i="1"/>
  <c r="M66" i="1" s="1"/>
  <c r="F20" i="7"/>
  <c r="G15" i="4"/>
  <c r="H14" i="4"/>
  <c r="I32" i="7"/>
  <c r="L32" i="7" s="1"/>
  <c r="I33" i="7"/>
  <c r="L33" i="7" s="1"/>
  <c r="N33" i="7" s="1"/>
  <c r="I18" i="4"/>
  <c r="J56" i="15"/>
  <c r="K7" i="12"/>
  <c r="I48" i="7"/>
  <c r="J9" i="12"/>
  <c r="K57" i="15"/>
  <c r="K54" i="7"/>
  <c r="J54" i="7"/>
  <c r="E17" i="15"/>
  <c r="F56" i="7"/>
  <c r="E24" i="15"/>
  <c r="E26" i="3"/>
  <c r="E27" i="3" s="1"/>
  <c r="L31" i="1"/>
  <c r="M16" i="7" s="1"/>
  <c r="F25" i="7"/>
  <c r="E32" i="3"/>
  <c r="E33" i="3"/>
  <c r="J33" i="3" s="1"/>
  <c r="H47" i="6"/>
  <c r="F54" i="6"/>
  <c r="H54" i="6" s="1"/>
  <c r="M54" i="6" s="1"/>
  <c r="F71" i="6"/>
  <c r="H71" i="6" s="1"/>
  <c r="M71" i="6" s="1"/>
  <c r="F37" i="6"/>
  <c r="H37" i="6" s="1"/>
  <c r="F6" i="7"/>
  <c r="L8" i="2"/>
  <c r="E9" i="2"/>
  <c r="J31" i="3"/>
  <c r="J14" i="5"/>
  <c r="E16" i="5"/>
  <c r="H16" i="6"/>
  <c r="M16" i="6" s="1"/>
  <c r="F17" i="6"/>
  <c r="G86" i="6"/>
  <c r="F40" i="7"/>
  <c r="F51" i="7"/>
  <c r="F39" i="7"/>
  <c r="E55" i="5"/>
  <c r="E56" i="5" s="1"/>
  <c r="J94" i="5"/>
  <c r="L94" i="5" s="1"/>
  <c r="L8" i="5"/>
  <c r="F13" i="7"/>
  <c r="E73" i="2"/>
  <c r="O45" i="2"/>
  <c r="E47" i="2"/>
  <c r="E46" i="2"/>
  <c r="E48" i="2" s="1"/>
  <c r="K59" i="2"/>
  <c r="E63" i="2"/>
  <c r="F36" i="7"/>
  <c r="E23" i="5"/>
  <c r="E24" i="5" s="1"/>
  <c r="F80" i="6"/>
  <c r="H80" i="6" s="1"/>
  <c r="M80" i="6" s="1"/>
  <c r="F79" i="6"/>
  <c r="H79" i="6" s="1"/>
  <c r="M79" i="6" s="1"/>
  <c r="H78" i="6"/>
  <c r="M78" i="6" s="1"/>
  <c r="F81" i="6"/>
  <c r="H81" i="6" s="1"/>
  <c r="M81" i="6" s="1"/>
  <c r="I19" i="7"/>
  <c r="K55" i="1"/>
  <c r="M55" i="1" s="1"/>
  <c r="K54" i="1"/>
  <c r="L8" i="12"/>
  <c r="F53" i="7"/>
  <c r="E50" i="12"/>
  <c r="E52" i="12" s="1"/>
  <c r="E101" i="3"/>
  <c r="E8" i="3"/>
  <c r="E44" i="3"/>
  <c r="J44" i="3" s="1"/>
  <c r="E43" i="3"/>
  <c r="J43" i="3" s="1"/>
  <c r="F9" i="7"/>
  <c r="O36" i="2"/>
  <c r="I9" i="7"/>
  <c r="M36" i="2"/>
  <c r="K39" i="2"/>
  <c r="M39" i="2" s="1"/>
  <c r="F38" i="7"/>
  <c r="E39" i="5"/>
  <c r="E40" i="5" s="1"/>
  <c r="I14" i="4"/>
  <c r="E51" i="12"/>
  <c r="I27" i="7"/>
  <c r="J24" i="3"/>
  <c r="E45" i="3"/>
  <c r="J45" i="3" s="1"/>
  <c r="E55" i="2"/>
  <c r="E62" i="3"/>
  <c r="J62" i="3" s="1"/>
  <c r="L62" i="3" s="1"/>
  <c r="E63" i="5"/>
  <c r="E64" i="5" s="1"/>
  <c r="E10" i="5"/>
  <c r="J10" i="5" s="1"/>
  <c r="L10" i="5" s="1"/>
  <c r="E79" i="5"/>
  <c r="K38" i="2"/>
  <c r="M38" i="2" s="1"/>
  <c r="E90" i="5"/>
  <c r="F72" i="6"/>
  <c r="H72" i="6" s="1"/>
  <c r="M72" i="6" s="1"/>
  <c r="E36" i="1"/>
  <c r="O45" i="1"/>
  <c r="F18" i="7"/>
  <c r="K69" i="1"/>
  <c r="K71" i="1" s="1"/>
  <c r="E71" i="1"/>
  <c r="J68" i="3"/>
  <c r="E96" i="3"/>
  <c r="J7" i="5"/>
  <c r="F34" i="7"/>
  <c r="E9" i="5"/>
  <c r="E93" i="5"/>
  <c r="H36" i="6"/>
  <c r="I18" i="7"/>
  <c r="K46" i="1"/>
  <c r="K47" i="1"/>
  <c r="M47" i="1" s="1"/>
  <c r="F10" i="7"/>
  <c r="K8" i="12"/>
  <c r="E10" i="1"/>
  <c r="E11" i="1" s="1"/>
  <c r="M10" i="1"/>
  <c r="E53" i="1"/>
  <c r="E20" i="2"/>
  <c r="K53" i="2"/>
  <c r="K63" i="2"/>
  <c r="H44" i="6"/>
  <c r="M10" i="2"/>
  <c r="K11" i="1"/>
  <c r="M11" i="1" s="1"/>
  <c r="L29" i="7"/>
  <c r="N29" i="7" s="1"/>
  <c r="K36" i="1"/>
  <c r="F48" i="7"/>
  <c r="E54" i="12"/>
  <c r="K45" i="2"/>
  <c r="K20" i="2"/>
  <c r="L86" i="3"/>
  <c r="L65" i="7"/>
  <c r="N65" i="7" s="1"/>
  <c r="H10" i="4"/>
  <c r="K28" i="2"/>
  <c r="O28" i="2" s="1"/>
  <c r="L47" i="7"/>
  <c r="N47" i="7" s="1"/>
  <c r="G12" i="4"/>
  <c r="L6" i="7"/>
  <c r="L54" i="7"/>
  <c r="N54" i="7" s="1"/>
  <c r="I21" i="7" l="1"/>
  <c r="K72" i="1"/>
  <c r="M72" i="1" s="1"/>
  <c r="M71" i="1"/>
  <c r="K73" i="1"/>
  <c r="M73" i="1" s="1"/>
  <c r="I7" i="7"/>
  <c r="K76" i="2"/>
  <c r="K21" i="2"/>
  <c r="K23" i="2"/>
  <c r="K22" i="2"/>
  <c r="I17" i="7"/>
  <c r="M36" i="1"/>
  <c r="K38" i="1"/>
  <c r="M38" i="1" s="1"/>
  <c r="K37" i="1"/>
  <c r="M37" i="1" s="1"/>
  <c r="K39" i="1"/>
  <c r="M39" i="1" s="1"/>
  <c r="K45" i="3"/>
  <c r="M26" i="7" s="1"/>
  <c r="N26" i="7" s="1"/>
  <c r="E55" i="12"/>
  <c r="E57" i="12"/>
  <c r="E56" i="12"/>
  <c r="L44" i="6"/>
  <c r="M44" i="6" s="1"/>
  <c r="F19" i="7"/>
  <c r="E55" i="1"/>
  <c r="E56" i="1" s="1"/>
  <c r="E54" i="1"/>
  <c r="K18" i="7"/>
  <c r="J18" i="7"/>
  <c r="L18" i="7" s="1"/>
  <c r="N18" i="7" s="1"/>
  <c r="E95" i="5"/>
  <c r="J9" i="5"/>
  <c r="I28" i="7"/>
  <c r="L68" i="3"/>
  <c r="J25" i="3"/>
  <c r="J26" i="3"/>
  <c r="K24" i="3"/>
  <c r="L24" i="3" s="1"/>
  <c r="I24" i="7"/>
  <c r="K9" i="7"/>
  <c r="L9" i="7"/>
  <c r="N9" i="7" s="1"/>
  <c r="J9" i="7"/>
  <c r="L44" i="3"/>
  <c r="K44" i="3"/>
  <c r="F12" i="7"/>
  <c r="E64" i="2"/>
  <c r="E66" i="2"/>
  <c r="E65" i="2"/>
  <c r="E77" i="2"/>
  <c r="E11" i="2"/>
  <c r="L9" i="2"/>
  <c r="E34" i="3"/>
  <c r="J34" i="3" s="1"/>
  <c r="J32" i="3"/>
  <c r="E63" i="3"/>
  <c r="J63" i="3" s="1"/>
  <c r="L63" i="3" s="1"/>
  <c r="K9" i="12"/>
  <c r="L9" i="12" s="1"/>
  <c r="H15" i="4"/>
  <c r="H16" i="4" s="1"/>
  <c r="F15" i="7"/>
  <c r="E22" i="1"/>
  <c r="E23" i="1" s="1"/>
  <c r="L20" i="1"/>
  <c r="E21" i="1"/>
  <c r="E76" i="1"/>
  <c r="F31" i="6"/>
  <c r="H31" i="6" s="1"/>
  <c r="J103" i="3"/>
  <c r="L9" i="3"/>
  <c r="K13" i="7"/>
  <c r="L13" i="7" s="1"/>
  <c r="N13" i="7" s="1"/>
  <c r="J13" i="7"/>
  <c r="E56" i="15"/>
  <c r="E55" i="15"/>
  <c r="E57" i="15" s="1"/>
  <c r="I49" i="7"/>
  <c r="L14" i="12"/>
  <c r="K65" i="2"/>
  <c r="M65" i="2" s="1"/>
  <c r="M63" i="2"/>
  <c r="K64" i="2"/>
  <c r="M64" i="2" s="1"/>
  <c r="K66" i="2"/>
  <c r="M66" i="2" s="1"/>
  <c r="I12" i="7"/>
  <c r="L36" i="6"/>
  <c r="F21" i="7"/>
  <c r="E72" i="1"/>
  <c r="E73" i="1"/>
  <c r="E74" i="1" s="1"/>
  <c r="O36" i="1"/>
  <c r="E38" i="1"/>
  <c r="F17" i="7"/>
  <c r="E37" i="1"/>
  <c r="E39" i="1"/>
  <c r="E81" i="5"/>
  <c r="J27" i="7"/>
  <c r="L27" i="7" s="1"/>
  <c r="N27" i="7" s="1"/>
  <c r="K27" i="7"/>
  <c r="J8" i="3"/>
  <c r="E10" i="3"/>
  <c r="J10" i="3" s="1"/>
  <c r="L10" i="3" s="1"/>
  <c r="K19" i="7"/>
  <c r="J19" i="7"/>
  <c r="J16" i="5"/>
  <c r="L16" i="5" s="1"/>
  <c r="E17" i="5"/>
  <c r="J17" i="5" s="1"/>
  <c r="L17" i="5" s="1"/>
  <c r="L11" i="2"/>
  <c r="M8" i="2"/>
  <c r="K48" i="7"/>
  <c r="J48" i="7"/>
  <c r="G16" i="4"/>
  <c r="J20" i="7"/>
  <c r="K20" i="7"/>
  <c r="L20" i="7"/>
  <c r="N20" i="7" s="1"/>
  <c r="J101" i="3"/>
  <c r="I22" i="7"/>
  <c r="L7" i="3"/>
  <c r="F73" i="6"/>
  <c r="H73" i="6" s="1"/>
  <c r="M73" i="6" s="1"/>
  <c r="K76" i="1"/>
  <c r="M20" i="1"/>
  <c r="I15" i="7"/>
  <c r="K22" i="1"/>
  <c r="K21" i="1"/>
  <c r="K31" i="1"/>
  <c r="M31" i="1" s="1"/>
  <c r="L28" i="6"/>
  <c r="E17" i="12"/>
  <c r="J17" i="12" s="1"/>
  <c r="L17" i="12" s="1"/>
  <c r="I8" i="7"/>
  <c r="K29" i="2"/>
  <c r="M29" i="2" s="1"/>
  <c r="M28" i="2"/>
  <c r="K30" i="2"/>
  <c r="M30" i="2" s="1"/>
  <c r="I11" i="7"/>
  <c r="M53" i="2"/>
  <c r="K55" i="2"/>
  <c r="M55" i="2" s="1"/>
  <c r="K54" i="2"/>
  <c r="M54" i="2" s="1"/>
  <c r="L7" i="5"/>
  <c r="J93" i="5"/>
  <c r="I34" i="7"/>
  <c r="I35" i="7"/>
  <c r="L14" i="5"/>
  <c r="K54" i="12"/>
  <c r="K10" i="12"/>
  <c r="M48" i="7" s="1"/>
  <c r="L7" i="12"/>
  <c r="K16" i="7"/>
  <c r="L16" i="7" s="1"/>
  <c r="N16" i="7" s="1"/>
  <c r="J16" i="7"/>
  <c r="H83" i="6"/>
  <c r="L29" i="6"/>
  <c r="L23" i="7"/>
  <c r="N23" i="7" s="1"/>
  <c r="K23" i="7"/>
  <c r="J23" i="7"/>
  <c r="H12" i="4"/>
  <c r="I12" i="4" s="1"/>
  <c r="M31" i="7"/>
  <c r="N31" i="7" s="1"/>
  <c r="H11" i="4"/>
  <c r="I11" i="4" s="1"/>
  <c r="I10" i="4"/>
  <c r="K46" i="2"/>
  <c r="M46" i="2" s="1"/>
  <c r="K48" i="2"/>
  <c r="M48" i="2" s="1"/>
  <c r="I10" i="7"/>
  <c r="M45" i="2"/>
  <c r="K47" i="2"/>
  <c r="M47" i="2" s="1"/>
  <c r="F7" i="7"/>
  <c r="L20" i="2"/>
  <c r="M20" i="2" s="1"/>
  <c r="E22" i="2"/>
  <c r="E78" i="2" s="1"/>
  <c r="E76" i="2"/>
  <c r="E79" i="2" s="1"/>
  <c r="E21" i="2"/>
  <c r="E23" i="2" s="1"/>
  <c r="E78" i="1"/>
  <c r="M46" i="1"/>
  <c r="K48" i="1"/>
  <c r="M48" i="1" s="1"/>
  <c r="E98" i="3"/>
  <c r="E103" i="3" s="1"/>
  <c r="E97" i="3"/>
  <c r="E102" i="3" s="1"/>
  <c r="E104" i="3" s="1"/>
  <c r="F30" i="7"/>
  <c r="O18" i="7"/>
  <c r="K43" i="3"/>
  <c r="L43" i="3"/>
  <c r="K56" i="1"/>
  <c r="M56" i="1" s="1"/>
  <c r="M54" i="1"/>
  <c r="F84" i="6"/>
  <c r="H84" i="6" s="1"/>
  <c r="H17" i="6"/>
  <c r="M17" i="6" s="1"/>
  <c r="F19" i="6"/>
  <c r="H19" i="6" s="1"/>
  <c r="M19" i="6" s="1"/>
  <c r="L31" i="3"/>
  <c r="I25" i="7"/>
  <c r="K33" i="3"/>
  <c r="L33" i="3"/>
  <c r="J54" i="12"/>
  <c r="J10" i="12"/>
  <c r="M32" i="7"/>
  <c r="N32" i="7" s="1"/>
  <c r="H30" i="6"/>
  <c r="F85" i="6"/>
  <c r="H85" i="6" s="1"/>
  <c r="E94" i="5"/>
  <c r="E96" i="5" s="1"/>
  <c r="O16" i="7"/>
  <c r="K11" i="7" l="1"/>
  <c r="J11" i="7"/>
  <c r="L83" i="6"/>
  <c r="M6" i="7"/>
  <c r="N6" i="7" s="1"/>
  <c r="M11" i="2"/>
  <c r="O19" i="7"/>
  <c r="L30" i="6"/>
  <c r="L85" i="6" s="1"/>
  <c r="L10" i="12"/>
  <c r="E99" i="3"/>
  <c r="L93" i="5"/>
  <c r="K77" i="1"/>
  <c r="M77" i="1" s="1"/>
  <c r="J22" i="7"/>
  <c r="K22" i="7"/>
  <c r="L22" i="7" s="1"/>
  <c r="N22" i="7" s="1"/>
  <c r="L76" i="2"/>
  <c r="L8" i="3"/>
  <c r="J102" i="3"/>
  <c r="L37" i="6"/>
  <c r="M37" i="6" s="1"/>
  <c r="L38" i="6"/>
  <c r="M38" i="6" s="1"/>
  <c r="J49" i="7"/>
  <c r="K49" i="7"/>
  <c r="L103" i="3"/>
  <c r="M9" i="2"/>
  <c r="L77" i="2"/>
  <c r="L9" i="5"/>
  <c r="J95" i="5"/>
  <c r="L95" i="5" s="1"/>
  <c r="K74" i="1"/>
  <c r="M74" i="1" s="1"/>
  <c r="J56" i="12"/>
  <c r="J55" i="12"/>
  <c r="J57" i="12" s="1"/>
  <c r="K25" i="7"/>
  <c r="J25" i="7"/>
  <c r="L25" i="7" s="1"/>
  <c r="N25" i="7" s="1"/>
  <c r="H22" i="4"/>
  <c r="F86" i="6"/>
  <c r="H86" i="6" s="1"/>
  <c r="L54" i="12"/>
  <c r="K35" i="7"/>
  <c r="L35" i="7"/>
  <c r="N35" i="7" s="1"/>
  <c r="J35" i="7"/>
  <c r="K31" i="2"/>
  <c r="M31" i="2" s="1"/>
  <c r="M28" i="6"/>
  <c r="K23" i="1"/>
  <c r="J104" i="3"/>
  <c r="I16" i="4"/>
  <c r="L19" i="7"/>
  <c r="N19" i="7" s="1"/>
  <c r="J12" i="7"/>
  <c r="K12" i="7"/>
  <c r="L12" i="7" s="1"/>
  <c r="N12" i="7" s="1"/>
  <c r="L23" i="1"/>
  <c r="M15" i="7" s="1"/>
  <c r="L21" i="1"/>
  <c r="L77" i="1" s="1"/>
  <c r="L22" i="1"/>
  <c r="L78" i="1" s="1"/>
  <c r="L76" i="1"/>
  <c r="I15" i="4"/>
  <c r="J24" i="7"/>
  <c r="L24" i="7" s="1"/>
  <c r="N24" i="7" s="1"/>
  <c r="K24" i="7"/>
  <c r="J27" i="3"/>
  <c r="L45" i="3"/>
  <c r="K77" i="2"/>
  <c r="M77" i="2" s="1"/>
  <c r="G22" i="4"/>
  <c r="I22" i="4" s="1"/>
  <c r="L21" i="2"/>
  <c r="M21" i="2" s="1"/>
  <c r="L23" i="2"/>
  <c r="M7" i="7" s="1"/>
  <c r="L22" i="2"/>
  <c r="L78" i="2" s="1"/>
  <c r="M83" i="6"/>
  <c r="K78" i="1"/>
  <c r="M78" i="1" s="1"/>
  <c r="N76" i="1"/>
  <c r="E79" i="1"/>
  <c r="K32" i="3"/>
  <c r="L32" i="3" s="1"/>
  <c r="K25" i="3"/>
  <c r="K27" i="3"/>
  <c r="M24" i="7" s="1"/>
  <c r="K26" i="3"/>
  <c r="K103" i="3" s="1"/>
  <c r="K101" i="3"/>
  <c r="L46" i="6"/>
  <c r="M46" i="6" s="1"/>
  <c r="L45" i="6"/>
  <c r="M45" i="6" s="1"/>
  <c r="J17" i="7"/>
  <c r="K17" i="7"/>
  <c r="M76" i="2"/>
  <c r="M85" i="6"/>
  <c r="K10" i="7"/>
  <c r="L10" i="7"/>
  <c r="N10" i="7" s="1"/>
  <c r="J10" i="7"/>
  <c r="M29" i="6"/>
  <c r="K56" i="12"/>
  <c r="K57" i="12"/>
  <c r="K55" i="12"/>
  <c r="K34" i="7"/>
  <c r="J34" i="7"/>
  <c r="K56" i="2"/>
  <c r="M56" i="2" s="1"/>
  <c r="J8" i="7"/>
  <c r="L8" i="7" s="1"/>
  <c r="N8" i="7" s="1"/>
  <c r="K8" i="7"/>
  <c r="J15" i="7"/>
  <c r="L15" i="7" s="1"/>
  <c r="N15" i="7" s="1"/>
  <c r="K15" i="7"/>
  <c r="L48" i="7"/>
  <c r="N48" i="7" s="1"/>
  <c r="M36" i="6"/>
  <c r="E77" i="1"/>
  <c r="L34" i="3"/>
  <c r="K34" i="3"/>
  <c r="M25" i="7" s="1"/>
  <c r="L26" i="3"/>
  <c r="J28" i="7"/>
  <c r="L28" i="7" s="1"/>
  <c r="N28" i="7" s="1"/>
  <c r="K28" i="7"/>
  <c r="K78" i="2"/>
  <c r="M78" i="2" s="1"/>
  <c r="M22" i="2"/>
  <c r="K7" i="7"/>
  <c r="L7" i="7" s="1"/>
  <c r="N7" i="7" s="1"/>
  <c r="J7" i="7"/>
  <c r="K21" i="7"/>
  <c r="J21" i="7"/>
  <c r="L21" i="7"/>
  <c r="N21" i="7" s="1"/>
  <c r="L27" i="3" l="1"/>
  <c r="K79" i="1"/>
  <c r="L55" i="12"/>
  <c r="L57" i="12" s="1"/>
  <c r="L56" i="12"/>
  <c r="L79" i="2"/>
  <c r="L84" i="6"/>
  <c r="M84" i="6" s="1"/>
  <c r="L31" i="6"/>
  <c r="M31" i="6" s="1"/>
  <c r="L34" i="7"/>
  <c r="N34" i="7" s="1"/>
  <c r="L17" i="7"/>
  <c r="N17" i="7" s="1"/>
  <c r="K102" i="3"/>
  <c r="K104" i="3" s="1"/>
  <c r="L104" i="3" s="1"/>
  <c r="L79" i="1"/>
  <c r="M76" i="1"/>
  <c r="L25" i="3"/>
  <c r="L49" i="7"/>
  <c r="N49" i="7" s="1"/>
  <c r="L39" i="6"/>
  <c r="M39" i="6" s="1"/>
  <c r="M21" i="1"/>
  <c r="L86" i="6"/>
  <c r="M86" i="6" s="1"/>
  <c r="M23" i="1"/>
  <c r="M23" i="2"/>
  <c r="K79" i="2"/>
  <c r="L47" i="6"/>
  <c r="M47" i="6" s="1"/>
  <c r="M22" i="1"/>
  <c r="L101" i="3"/>
  <c r="J96" i="5"/>
  <c r="L96" i="5" s="1"/>
  <c r="M30" i="6"/>
  <c r="L11" i="7"/>
  <c r="N11" i="7" s="1"/>
  <c r="L102" i="3" l="1"/>
  <c r="M79" i="1"/>
  <c r="M79" i="2"/>
</calcChain>
</file>

<file path=xl/sharedStrings.xml><?xml version="1.0" encoding="utf-8"?>
<sst xmlns="http://schemas.openxmlformats.org/spreadsheetml/2006/main" count="1409" uniqueCount="343">
  <si>
    <t>Planta Picure/Tacoa(2)LM6000s</t>
  </si>
  <si>
    <t>10-T9003B</t>
  </si>
  <si>
    <t>Contract Dated June 30, 2009</t>
  </si>
  <si>
    <t xml:space="preserve">Customer: </t>
  </si>
  <si>
    <t>Derwick Associates S.A.</t>
  </si>
  <si>
    <t>MMG Tower, Piso 16, Calle 53, Urbanizacion Marbella,</t>
  </si>
  <si>
    <t>Cuidad de Panama, Republica de Panama</t>
  </si>
  <si>
    <t>Attn:  Aljandro Betancourt Lopez</t>
  </si>
  <si>
    <t>Telefax:  58-212-975-2269</t>
  </si>
  <si>
    <t>Payment Schedule</t>
  </si>
  <si>
    <t>Invoice</t>
  </si>
  <si>
    <t xml:space="preserve">Payment </t>
  </si>
  <si>
    <t>Description</t>
  </si>
  <si>
    <t xml:space="preserve">% </t>
  </si>
  <si>
    <t>Amount</t>
  </si>
  <si>
    <t>Total Milestone</t>
  </si>
  <si>
    <t>Inv #</t>
  </si>
  <si>
    <t>Date</t>
  </si>
  <si>
    <t>Milestones are for Unit 1 and 2</t>
  </si>
  <si>
    <t>Down Payment Due Upon Contract Signing</t>
  </si>
  <si>
    <t xml:space="preserve">Milestone 1 </t>
  </si>
  <si>
    <t>Civil Works &amp; Conceptual Engineering</t>
  </si>
  <si>
    <t>Total Milestone 1</t>
  </si>
  <si>
    <t>Milestone 2</t>
  </si>
  <si>
    <t>Gas Turbines Set on Foundations</t>
  </si>
  <si>
    <t>Total Milestone 2</t>
  </si>
  <si>
    <t xml:space="preserve">Milestone 3 </t>
  </si>
  <si>
    <t>Gas Turbine Package Erection</t>
  </si>
  <si>
    <t>Total Milestone 3</t>
  </si>
  <si>
    <t>Milestone 4</t>
  </si>
  <si>
    <t xml:space="preserve"> Mechanical Completion</t>
  </si>
  <si>
    <t>Total Milestone 4</t>
  </si>
  <si>
    <t>Milestone 5</t>
  </si>
  <si>
    <t>Electrical Completion</t>
  </si>
  <si>
    <t>Total Milestone 5</t>
  </si>
  <si>
    <t>Milestone 6</t>
  </si>
  <si>
    <t>Precommissioning Complete</t>
  </si>
  <si>
    <t>Total Milestone 6</t>
  </si>
  <si>
    <t>Milestone 7</t>
  </si>
  <si>
    <t>Plant Commissioning &amp; Testing Complete</t>
  </si>
  <si>
    <t>Total Milestone 7</t>
  </si>
  <si>
    <t>Total</t>
  </si>
  <si>
    <t>Total Bs</t>
  </si>
  <si>
    <t>Milestone</t>
  </si>
  <si>
    <t>Mobilization to Site</t>
  </si>
  <si>
    <t>Site Preparation Complete</t>
  </si>
  <si>
    <t>Site Excavation Complete</t>
  </si>
  <si>
    <t>Foundation Steel on Site</t>
  </si>
  <si>
    <t>Gas Turbine Foundation Forms Set</t>
  </si>
  <si>
    <t>Gas Turbine Foundation Ready to Pour Concrete</t>
  </si>
  <si>
    <t>Concrete Poured in Gas Turbine Foundation</t>
  </si>
  <si>
    <t>Gas Turbine Packages Set on Foundations</t>
  </si>
  <si>
    <t>Mechanical Contractor Mobilized to Site</t>
  </si>
  <si>
    <t>Electrical Contractor Mobilized to Site</t>
  </si>
  <si>
    <t>Gas Turbine Package Erection Complete</t>
  </si>
  <si>
    <t>Exhaust Stack Erection Complete</t>
  </si>
  <si>
    <t>Complete BOP Foundations</t>
  </si>
  <si>
    <t>Set Gas Compressors on Foundations</t>
  </si>
  <si>
    <t>Erect Water Treatment Equipment</t>
  </si>
  <si>
    <t>Interconnect Piping Installed</t>
  </si>
  <si>
    <t>Eletrical BOP Equipment Installed</t>
  </si>
  <si>
    <t>Electrical BOP Interconnect Cabling Installed</t>
  </si>
  <si>
    <t>69KV Transmission Relocation Complete</t>
  </si>
  <si>
    <t>Mechanical Equipment Flushed and Checked</t>
  </si>
  <si>
    <t>Hydrostatic Testing Complete</t>
  </si>
  <si>
    <t>Pumps Rotated and Tested</t>
  </si>
  <si>
    <t>Mechanical Systems Ready for Startup</t>
  </si>
  <si>
    <t>Electrical Equipment Statically Tested</t>
  </si>
  <si>
    <t>Gas Turbines Tested and Ready for Commercial Operation</t>
  </si>
  <si>
    <t>All Mechanical Auxiliary and BOP Equipment Ready for Commercial Operation</t>
  </si>
  <si>
    <t>All Electrical Auxiliary and BOP Equipment Tested and Ready for Commercial Operation</t>
  </si>
  <si>
    <t>Planta Picure/Tacoa(2)LM2500s</t>
  </si>
  <si>
    <t>10-T9003A</t>
  </si>
  <si>
    <t>Number</t>
  </si>
  <si>
    <t>La Raisa (3) FT8</t>
  </si>
  <si>
    <t>Project - Pratt Whitney FT8-3 Swiftpac Units</t>
  </si>
  <si>
    <t>10-T9018</t>
  </si>
  <si>
    <t>Contract Dated October 27, 2009</t>
  </si>
  <si>
    <t>Derwick Associates Corp</t>
  </si>
  <si>
    <t>13, 8th Avenue Belleville, St. Michael, Barbados</t>
  </si>
  <si>
    <t>Attn:  Pedro Trebbau Lopez</t>
  </si>
  <si>
    <t>Civil Works</t>
  </si>
  <si>
    <t>Gas Turbine 1 &amp; 2 Erection Complete</t>
  </si>
  <si>
    <t>Assembly of Major Gas Turbine Modules Complete</t>
  </si>
  <si>
    <t>Exhaust Stacks Erected</t>
  </si>
  <si>
    <t xml:space="preserve"> Mechanical</t>
  </si>
  <si>
    <t>Gas Turbine #3 Erection Complete</t>
  </si>
  <si>
    <t>Gas Turbine Auxiliary Equipment Set</t>
  </si>
  <si>
    <t>Interconnect Piping Installed on Units 1 &amp; 2</t>
  </si>
  <si>
    <t>(1) Raw Fuel, (1) Treated Fuel Tank Complete</t>
  </si>
  <si>
    <t>Electrical</t>
  </si>
  <si>
    <t>All Major Electrical Equipment Set &amp; Installed</t>
  </si>
  <si>
    <t>Mechanical</t>
  </si>
  <si>
    <t>Liquid Fuel Off Load Station Complete</t>
  </si>
  <si>
    <t>Water Treatment System Installed</t>
  </si>
  <si>
    <t>Interconnect Piping Installed on Unit 3</t>
  </si>
  <si>
    <t>Gas Compressors Set on Foundation</t>
  </si>
  <si>
    <t>All Electrical Interconnect Cabling Installed Units 1&amp;2</t>
  </si>
  <si>
    <t>Precommissioning Complete on Units 1 &amp;2</t>
  </si>
  <si>
    <t>All Mechanical Equipment Flushed and Checked</t>
  </si>
  <si>
    <t>All Hydrostatic Testing Complete</t>
  </si>
  <si>
    <t>All Pumps Rotated and Tested</t>
  </si>
  <si>
    <t>All Mechanical Systems Ready for Startup</t>
  </si>
  <si>
    <t>All Electrical Equipment Statically Tested</t>
  </si>
  <si>
    <t>All Electrical Systems Ready for Startup</t>
  </si>
  <si>
    <t>Units 1&amp;2 Commissioning &amp; Testing Complete</t>
  </si>
  <si>
    <t>All Mechanical Auxiliary Ready for Commercial Operation</t>
  </si>
  <si>
    <t>All Electrical Auxiliary Equipment Tested and Ready for Commercial Operation</t>
  </si>
  <si>
    <t>All Plant Fuel and Water Tanks Complete</t>
  </si>
  <si>
    <t>All Plant Fuel and Water Piping Complete</t>
  </si>
  <si>
    <t>All Electrical Balance of Plant Complete</t>
  </si>
  <si>
    <t>All Plant Interconnect Cabling Complete</t>
  </si>
  <si>
    <t>Precommissioning Complete on Unit 3</t>
  </si>
  <si>
    <t>Milestone 8</t>
  </si>
  <si>
    <t>GT Unit 3 Tested and Ready for Commercial Operation</t>
  </si>
  <si>
    <t>Gas Compression Complete &amp; Ready for PDVSA Gas</t>
  </si>
  <si>
    <t>All Mechanical Auxiliary and Balance of Plant Equipment Ready for Commercial Operation</t>
  </si>
  <si>
    <t>All Electrical Auxiliary and Balance of Plant Equipment Tested and Ready for Commercial Operation</t>
  </si>
  <si>
    <t>All Buildings Finished and Complete</t>
  </si>
  <si>
    <t>All Driveways and Finish Grading Complete</t>
  </si>
  <si>
    <t>Total Milestone 8</t>
  </si>
  <si>
    <t>Concrete Poured in Gas Turbine Foundations</t>
  </si>
  <si>
    <t>Termozulia IV</t>
  </si>
  <si>
    <t>10-T9002</t>
  </si>
  <si>
    <t>Customer:  Corpelec</t>
  </si>
  <si>
    <t>Payment</t>
  </si>
  <si>
    <t>Milestones</t>
  </si>
  <si>
    <t>Down Payment (50%)</t>
  </si>
  <si>
    <t>Bs Portion</t>
  </si>
  <si>
    <t>Civil Work Complete (25%)</t>
  </si>
  <si>
    <t>Electrical Mechanical Complete (25%)</t>
  </si>
  <si>
    <t>Pay Date</t>
  </si>
  <si>
    <t>7/21/2009 &amp; 9-14</t>
  </si>
  <si>
    <t>Payment Date</t>
  </si>
  <si>
    <t>7/21/2009 &amp; 9/14/09</t>
  </si>
  <si>
    <t>44&amp; 45</t>
  </si>
  <si>
    <t>46 &amp; 47</t>
  </si>
  <si>
    <t>48 &amp; 49</t>
  </si>
  <si>
    <t>50 &amp; 51</t>
  </si>
  <si>
    <t>52 &amp; 53</t>
  </si>
  <si>
    <t>54 &amp; 55</t>
  </si>
  <si>
    <t>56 &amp; 57</t>
  </si>
  <si>
    <t>58 &amp; 59</t>
  </si>
  <si>
    <t>60 &amp; 61</t>
  </si>
  <si>
    <t>62 &amp; 63</t>
  </si>
  <si>
    <t>64 &amp; 65</t>
  </si>
  <si>
    <t>66 &amp; 67</t>
  </si>
  <si>
    <t>68 &amp; 69</t>
  </si>
  <si>
    <t>70 &amp; 71</t>
  </si>
  <si>
    <t>Both contracts paid together</t>
  </si>
  <si>
    <t>72 &amp; 73</t>
  </si>
  <si>
    <t>8/3/09 &amp; 12/7/09</t>
  </si>
  <si>
    <t>74 &amp; 75</t>
  </si>
  <si>
    <t>76 &amp; 77</t>
  </si>
  <si>
    <t>78 &amp; 79</t>
  </si>
  <si>
    <t xml:space="preserve">80 &amp; 81 </t>
  </si>
  <si>
    <t>82 &amp; 83</t>
  </si>
  <si>
    <t xml:space="preserve">86 &amp; 87 </t>
  </si>
  <si>
    <t>Requested for Derwick we did not invoice them until they received the Bolivars</t>
  </si>
  <si>
    <t>88 &amp; 89</t>
  </si>
  <si>
    <t>90 &amp; 91</t>
  </si>
  <si>
    <t>92 &amp; 93</t>
  </si>
  <si>
    <t>94 &amp; 95</t>
  </si>
  <si>
    <t>96: 97 &amp; 98</t>
  </si>
  <si>
    <t>99 &amp; 100</t>
  </si>
  <si>
    <t>outstanding</t>
  </si>
  <si>
    <t>101 &amp; 102</t>
  </si>
  <si>
    <t>103 &amp; 104</t>
  </si>
  <si>
    <t>From Milestone # 2,  5% invoiced</t>
  </si>
  <si>
    <t>106 &amp; 107</t>
  </si>
  <si>
    <t>108 &amp; 109</t>
  </si>
  <si>
    <t>110 &amp; 111</t>
  </si>
  <si>
    <t>113 &amp; 114</t>
  </si>
  <si>
    <t>115 &amp; 116</t>
  </si>
  <si>
    <t>117 &amp; 118</t>
  </si>
  <si>
    <t>119 &amp; 120</t>
  </si>
  <si>
    <t>121 &amp; 122</t>
  </si>
  <si>
    <t>123 &amp; 124</t>
  </si>
  <si>
    <t>125 &amp; 126</t>
  </si>
  <si>
    <t>127 &amp; 128</t>
  </si>
  <si>
    <t>129 &amp; 130</t>
  </si>
  <si>
    <t>131 &amp; 132</t>
  </si>
  <si>
    <t>133 &amp; 134</t>
  </si>
  <si>
    <t>135 &amp; 136</t>
  </si>
  <si>
    <t>137 &amp; 138</t>
  </si>
  <si>
    <t>139 &amp; 140</t>
  </si>
  <si>
    <t>141 &amp; 142</t>
  </si>
  <si>
    <t>143 &amp; 144</t>
  </si>
  <si>
    <t>145 &amp; 146</t>
  </si>
  <si>
    <t>147 &amp; 148</t>
  </si>
  <si>
    <t>149 &amp; 150</t>
  </si>
  <si>
    <t>151 &amp; 152</t>
  </si>
  <si>
    <t>153 &amp; 154</t>
  </si>
  <si>
    <t>155 &amp; 156</t>
  </si>
  <si>
    <t>10-T1009</t>
  </si>
  <si>
    <t>Guarenas</t>
  </si>
  <si>
    <t>Contract Dated March 26, 2010</t>
  </si>
  <si>
    <t>Gas Turbine Foundation Poured for Equipment</t>
  </si>
  <si>
    <t>Gas Turbines 1 Erection Complete</t>
  </si>
  <si>
    <t>Units 1&amp;2 Tested and Ready for Commercial Operation</t>
  </si>
  <si>
    <t>200116-VZ</t>
  </si>
  <si>
    <t>VAT</t>
  </si>
  <si>
    <t>Witholding</t>
  </si>
  <si>
    <t>Sub Total</t>
  </si>
  <si>
    <t>Balance</t>
  </si>
  <si>
    <t>Observation</t>
  </si>
  <si>
    <t>Advanced Payment</t>
  </si>
  <si>
    <t>B</t>
  </si>
  <si>
    <t>A</t>
  </si>
  <si>
    <t>TACOA</t>
  </si>
  <si>
    <t>CONSOLIDATED</t>
  </si>
  <si>
    <t>Total VEF</t>
  </si>
  <si>
    <t>Did not withhold</t>
  </si>
  <si>
    <t>Witheld including down payment</t>
  </si>
  <si>
    <t>Only invoice 50% of the milestone</t>
  </si>
  <si>
    <t>2 X GE LM2500 + Duel Fuel and 1 x GE LM6000 Dual Fuel</t>
  </si>
  <si>
    <t>Downpayment</t>
  </si>
  <si>
    <t>Requested byDerwick to not invoice until they received Bolivars</t>
  </si>
  <si>
    <t>Witheld including down payment (not paid on 7/21 inv 42)</t>
  </si>
  <si>
    <t>totals out at bottom / grand total</t>
  </si>
  <si>
    <t>5% contract value from milestone 2</t>
  </si>
  <si>
    <t>Only invoice 50% of the milestone - Derwick requested to apply to milestone 4</t>
  </si>
  <si>
    <t>Amount Invoiced</t>
  </si>
  <si>
    <t>It was invoiced BSF 536407.50 instead 563407.50</t>
  </si>
  <si>
    <t>It includes remaining 5% from milestone 2</t>
  </si>
  <si>
    <t>Accounts Receivable Summary</t>
  </si>
  <si>
    <t>Project</t>
  </si>
  <si>
    <t>Tacoa 2500</t>
  </si>
  <si>
    <t>Tacoa 6000</t>
  </si>
  <si>
    <t>La Raisa</t>
  </si>
  <si>
    <t>Termozulia</t>
  </si>
  <si>
    <t>Down Payment</t>
  </si>
  <si>
    <t>Civil Work</t>
  </si>
  <si>
    <t>Electrical Work</t>
  </si>
  <si>
    <t>Inoviced B/T</t>
  </si>
  <si>
    <t>Cost B/T</t>
  </si>
  <si>
    <t>Paid</t>
  </si>
  <si>
    <t>Grand Total</t>
  </si>
  <si>
    <t>Guarenas Total</t>
  </si>
  <si>
    <t>La Raisa Total</t>
  </si>
  <si>
    <t>Tacoa 2500 Total</t>
  </si>
  <si>
    <t>Tacoa 6000 Total</t>
  </si>
  <si>
    <t>Termozulia Total</t>
  </si>
  <si>
    <t>Sum of Cost B/T</t>
  </si>
  <si>
    <t>Data</t>
  </si>
  <si>
    <t>Sum of Inoviced B/T</t>
  </si>
  <si>
    <t>Sum of Paid</t>
  </si>
  <si>
    <t>Sum of Balance</t>
  </si>
  <si>
    <t>WH</t>
  </si>
  <si>
    <t>Total Invoiced</t>
  </si>
  <si>
    <t>Sum of VAT</t>
  </si>
  <si>
    <t>Sum of Total Invoiced</t>
  </si>
  <si>
    <t>Sum of WH</t>
  </si>
  <si>
    <t>To be Invoiced June</t>
  </si>
  <si>
    <t>Date Paid</t>
  </si>
  <si>
    <t>Invoice Date</t>
  </si>
  <si>
    <t>170</t>
  </si>
  <si>
    <t>CO Number</t>
  </si>
  <si>
    <t>IV Number</t>
  </si>
  <si>
    <t>Date Invoiced</t>
  </si>
  <si>
    <t>Brief Description</t>
  </si>
  <si>
    <t>Sum of VEF B/T</t>
  </si>
  <si>
    <t>Sum of VAT VEF</t>
  </si>
  <si>
    <t>Sum of Total VEF</t>
  </si>
  <si>
    <t>Sum of USD</t>
  </si>
  <si>
    <t>T-9018-CO-001</t>
  </si>
  <si>
    <t>Change from Single gas Pipe to IndividualRuns For Gas</t>
  </si>
  <si>
    <t>T-9018-CO-004</t>
  </si>
  <si>
    <t>15KV Auxilary Power.</t>
  </si>
  <si>
    <t>T-9018-CO-005</t>
  </si>
  <si>
    <t>5KV Auxilary Power.</t>
  </si>
  <si>
    <t>T-9018-CO-006</t>
  </si>
  <si>
    <t>Add 3 Nema 3R fused disconnect Switches</t>
  </si>
  <si>
    <t>T-9018-CO-007</t>
  </si>
  <si>
    <t>Install Fire Water system</t>
  </si>
  <si>
    <t>T-9018-CO-008</t>
  </si>
  <si>
    <t>Labor and Materials Required</t>
  </si>
  <si>
    <t>Tacoa</t>
  </si>
  <si>
    <t>T-9003A-CO-001</t>
  </si>
  <si>
    <t>Relocation of liquid fue offloading station as orginally desinged and proposed</t>
  </si>
  <si>
    <t>T-9003A-CO-008</t>
  </si>
  <si>
    <t>The LM6000 gas compressor Movement south</t>
  </si>
  <si>
    <t>T-9003A-CO-009</t>
  </si>
  <si>
    <t>Removal of existing fuel oil line on the south hill</t>
  </si>
  <si>
    <t>T-9003A-CO-010</t>
  </si>
  <si>
    <t>A GSU protection panel added</t>
  </si>
  <si>
    <t>T-9003A-CO-011</t>
  </si>
  <si>
    <t>Road around unit 100 and 200 was added</t>
  </si>
  <si>
    <t>T-9003A-CO-012</t>
  </si>
  <si>
    <t>Hot tap line main gas line</t>
  </si>
  <si>
    <t>T-9003ACO-013</t>
  </si>
  <si>
    <t>LM2500 KV Feeder from GTG Circuit brakers to the EDC GSU Transformers</t>
  </si>
  <si>
    <t>T-9003ACO-014</t>
  </si>
  <si>
    <t>LM6000 KV Feeder and Inter Tie with EDC transmission Line</t>
  </si>
  <si>
    <t>T-9003A-CO-015</t>
  </si>
  <si>
    <t>LM600 Gas Compressor nstreumentation</t>
  </si>
  <si>
    <t>T-9003A-CO-016</t>
  </si>
  <si>
    <t>Extra Work Support. Inserven</t>
  </si>
  <si>
    <t>T-9003A-CO-017</t>
  </si>
  <si>
    <t>Movement of Second 69K</t>
  </si>
  <si>
    <t>Tacoa Total</t>
  </si>
  <si>
    <t>Change Orders Summary</t>
  </si>
  <si>
    <t>VEF B/T</t>
  </si>
  <si>
    <t>VAT VEF</t>
  </si>
  <si>
    <t>USD</t>
  </si>
  <si>
    <t>ok</t>
  </si>
  <si>
    <t>-</t>
  </si>
  <si>
    <t>15/06/2010</t>
  </si>
  <si>
    <t>All Proejects</t>
  </si>
  <si>
    <t>(blank)</t>
  </si>
  <si>
    <t>All Proejects Total</t>
  </si>
  <si>
    <t>Services to different projects</t>
  </si>
  <si>
    <t>21/06/2010</t>
  </si>
  <si>
    <t>21-30/06/2010</t>
  </si>
  <si>
    <t>23/06/2010</t>
  </si>
  <si>
    <t>Gas Turbine Module Set on Foundation</t>
  </si>
  <si>
    <t>Commissioning &amp; Testing Complete</t>
  </si>
  <si>
    <t>Las Morochas</t>
  </si>
  <si>
    <t>Las Morochas Total</t>
  </si>
  <si>
    <t>Furrial</t>
  </si>
  <si>
    <t>GT Tested and Ready for Commercial Operation</t>
  </si>
  <si>
    <t>Furrial Total</t>
  </si>
  <si>
    <t>CVGA</t>
  </si>
  <si>
    <t>410-3202-co-002</t>
  </si>
  <si>
    <t>Supply of fire protection skid package</t>
  </si>
  <si>
    <t>CVGA Total</t>
  </si>
  <si>
    <t>Change Order Summary  July 1st</t>
  </si>
  <si>
    <t>Currency</t>
  </si>
  <si>
    <t>VEF</t>
  </si>
  <si>
    <t>EL Furrial</t>
  </si>
  <si>
    <t>10-T1004-Co-001</t>
  </si>
  <si>
    <t>10-T1004-Co-002</t>
  </si>
  <si>
    <t>10-T1004-Co-003</t>
  </si>
  <si>
    <t>10-T1004-Co-004</t>
  </si>
  <si>
    <t>10-T1004-Co-005</t>
  </si>
  <si>
    <t>Extra Work to Correct the FootPrint</t>
  </si>
  <si>
    <t>Construction of 1.8M Fence with 11 gauge cyclone mesh with 6 lines of barbwire</t>
  </si>
  <si>
    <t>Over Excavation of foot print area. Back Fill removal engineered fill</t>
  </si>
  <si>
    <t>Temporary Electricity and Potable water at site</t>
  </si>
  <si>
    <t>Waitng for Approval</t>
  </si>
  <si>
    <t>EL Furrial Total</t>
  </si>
  <si>
    <t>Witholding 8.1%</t>
  </si>
  <si>
    <t>VEF Invoice Report July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</si>
</sst>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 [$Bs-200A]\ * #,##0.00_ ;_ [$Bs-200A]\ * \-#,##0.00_ ;_ [$Bs-200A]\ * &quot;-&quot;??_ ;_ @_ "/>
    <numFmt numFmtId="166" formatCode="&quot;$&quot;#,##0.00"/>
    <numFmt numFmtId="167" formatCode="[$Bs-200A]\ #,##0.00"/>
    <numFmt numFmtId="168" formatCode="mm/dd/yy;@"/>
    <numFmt numFmtId="169" formatCode="[$Bs-200A]\ #,##0.00_);\([$Bs-200A]\ #,##0.00\)"/>
    <numFmt numFmtId="170" formatCode="_(* #,##0.0000_);_(* \(#,##0.0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9" fontId="6" fillId="0" borderId="0" applyFont="0" applyFill="0" applyBorder="0" applyAlignment="0" applyProtection="0"/>
  </cellStyleXfs>
  <cellXfs count="134">
    <xf numFmtId="0" fontId="0" fillId="0" borderId="0" xfId="0"/>
    <xf numFmtId="0" fontId="5" fillId="0" borderId="0" xfId="0" applyFont="1"/>
    <xf numFmtId="14" fontId="0" fillId="0" borderId="0" xfId="0" applyNumberFormat="1"/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9" fontId="6" fillId="0" borderId="0" xfId="5" applyFont="1"/>
    <xf numFmtId="44" fontId="6" fillId="0" borderId="0" xfId="3" applyFont="1"/>
    <xf numFmtId="164" fontId="5" fillId="0" borderId="0" xfId="5" applyNumberFormat="1" applyFont="1"/>
    <xf numFmtId="164" fontId="6" fillId="0" borderId="0" xfId="5" applyNumberFormat="1" applyFont="1"/>
    <xf numFmtId="44" fontId="5" fillId="0" borderId="0" xfId="3" applyFont="1"/>
    <xf numFmtId="3" fontId="0" fillId="0" borderId="0" xfId="0" applyNumberFormat="1"/>
    <xf numFmtId="164" fontId="5" fillId="0" borderId="0" xfId="5" applyNumberFormat="1" applyFont="1" applyBorder="1"/>
    <xf numFmtId="9" fontId="5" fillId="0" borderId="0" xfId="5" applyFont="1"/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2" borderId="1" xfId="3" applyNumberFormat="1" applyFont="1" applyFill="1" applyBorder="1"/>
    <xf numFmtId="165" fontId="5" fillId="3" borderId="0" xfId="3" applyNumberFormat="1" applyFont="1" applyFill="1" applyBorder="1"/>
    <xf numFmtId="165" fontId="5" fillId="2" borderId="1" xfId="0" applyNumberFormat="1" applyFont="1" applyFill="1" applyBorder="1"/>
    <xf numFmtId="9" fontId="5" fillId="2" borderId="3" xfId="5" applyFont="1" applyFill="1" applyBorder="1"/>
    <xf numFmtId="9" fontId="6" fillId="2" borderId="3" xfId="5" applyFont="1" applyFill="1" applyBorder="1"/>
    <xf numFmtId="165" fontId="5" fillId="2" borderId="3" xfId="0" applyNumberFormat="1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165" fontId="5" fillId="2" borderId="3" xfId="0" applyNumberFormat="1" applyFont="1" applyFill="1" applyBorder="1"/>
    <xf numFmtId="165" fontId="6" fillId="0" borderId="0" xfId="3" applyNumberFormat="1" applyFont="1"/>
    <xf numFmtId="165" fontId="5" fillId="4" borderId="0" xfId="0" applyNumberFormat="1" applyFont="1" applyFill="1"/>
    <xf numFmtId="165" fontId="5" fillId="0" borderId="0" xfId="0" applyNumberFormat="1" applyFont="1" applyFill="1"/>
    <xf numFmtId="165" fontId="0" fillId="0" borderId="0" xfId="0" applyNumberFormat="1"/>
    <xf numFmtId="165" fontId="0" fillId="0" borderId="0" xfId="0" applyNumberFormat="1" applyFill="1"/>
    <xf numFmtId="165" fontId="5" fillId="0" borderId="0" xfId="3" applyNumberFormat="1" applyFont="1"/>
    <xf numFmtId="165" fontId="5" fillId="0" borderId="0" xfId="0" applyNumberFormat="1" applyFont="1"/>
    <xf numFmtId="165" fontId="5" fillId="0" borderId="5" xfId="0" applyNumberFormat="1" applyFont="1" applyBorder="1"/>
    <xf numFmtId="165" fontId="5" fillId="0" borderId="0" xfId="0" applyNumberFormat="1" applyFont="1" applyBorder="1"/>
    <xf numFmtId="14" fontId="5" fillId="2" borderId="1" xfId="0" applyNumberFormat="1" applyFont="1" applyFill="1" applyBorder="1"/>
    <xf numFmtId="14" fontId="5" fillId="2" borderId="3" xfId="0" applyNumberFormat="1" applyFont="1" applyFill="1" applyBorder="1"/>
    <xf numFmtId="0" fontId="0" fillId="2" borderId="1" xfId="0" applyFont="1" applyFill="1" applyBorder="1"/>
    <xf numFmtId="0" fontId="5" fillId="2" borderId="6" xfId="0" applyFont="1" applyFill="1" applyBorder="1" applyAlignment="1">
      <alignment horizontal="center"/>
    </xf>
    <xf numFmtId="0" fontId="0" fillId="2" borderId="3" xfId="0" applyFont="1" applyFill="1" applyBorder="1"/>
    <xf numFmtId="9" fontId="5" fillId="2" borderId="7" xfId="5" applyFont="1" applyFill="1" applyBorder="1"/>
    <xf numFmtId="44" fontId="5" fillId="2" borderId="3" xfId="3" applyFont="1" applyFill="1" applyBorder="1" applyAlignment="1">
      <alignment horizontal="center"/>
    </xf>
    <xf numFmtId="44" fontId="0" fillId="0" borderId="0" xfId="0" applyNumberFormat="1" applyFill="1"/>
    <xf numFmtId="165" fontId="0" fillId="0" borderId="0" xfId="0" applyNumberFormat="1" applyBorder="1"/>
    <xf numFmtId="0" fontId="0" fillId="0" borderId="0" xfId="0" applyBorder="1"/>
    <xf numFmtId="166" fontId="0" fillId="0" borderId="0" xfId="0" applyNumberFormat="1"/>
    <xf numFmtId="14" fontId="0" fillId="2" borderId="1" xfId="0" applyNumberFormat="1" applyFill="1" applyBorder="1" applyAlignment="1">
      <alignment horizontal="center"/>
    </xf>
    <xf numFmtId="14" fontId="0" fillId="2" borderId="3" xfId="0" applyNumberFormat="1" applyFill="1" applyBorder="1" applyAlignment="1">
      <alignment horizontal="center"/>
    </xf>
    <xf numFmtId="0" fontId="6" fillId="0" borderId="0" xfId="0" applyFont="1"/>
    <xf numFmtId="166" fontId="5" fillId="0" borderId="0" xfId="0" applyNumberFormat="1" applyFon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/>
    <xf numFmtId="168" fontId="0" fillId="0" borderId="0" xfId="0" applyNumberFormat="1"/>
    <xf numFmtId="1" fontId="0" fillId="0" borderId="0" xfId="0" applyNumberFormat="1"/>
    <xf numFmtId="1" fontId="0" fillId="2" borderId="1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Alignment="1">
      <alignment horizontal="right"/>
    </xf>
    <xf numFmtId="0" fontId="0" fillId="0" borderId="0" xfId="0" applyNumberFormat="1"/>
    <xf numFmtId="169" fontId="5" fillId="2" borderId="1" xfId="3" applyNumberFormat="1" applyFont="1" applyFill="1" applyBorder="1"/>
    <xf numFmtId="168" fontId="0" fillId="0" borderId="0" xfId="0" applyNumberFormat="1" applyAlignment="1">
      <alignment horizontal="center"/>
    </xf>
    <xf numFmtId="167" fontId="8" fillId="0" borderId="0" xfId="0" applyNumberFormat="1" applyFont="1"/>
    <xf numFmtId="165" fontId="0" fillId="0" borderId="0" xfId="0" applyNumberFormat="1" applyAlignment="1">
      <alignment horizontal="right"/>
    </xf>
    <xf numFmtId="165" fontId="2" fillId="0" borderId="0" xfId="3" applyNumberFormat="1" applyFont="1"/>
    <xf numFmtId="0" fontId="4" fillId="0" borderId="0" xfId="0" applyFont="1"/>
    <xf numFmtId="165" fontId="5" fillId="0" borderId="8" xfId="0" applyNumberFormat="1" applyFont="1" applyFill="1" applyBorder="1"/>
    <xf numFmtId="165" fontId="5" fillId="5" borderId="0" xfId="0" applyNumberFormat="1" applyFont="1" applyFill="1"/>
    <xf numFmtId="0" fontId="4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165" fontId="0" fillId="5" borderId="0" xfId="0" applyNumberFormat="1" applyFill="1" applyAlignment="1">
      <alignment horizontal="right"/>
    </xf>
    <xf numFmtId="0" fontId="0" fillId="0" borderId="0" xfId="0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8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165" fontId="0" fillId="0" borderId="0" xfId="0" applyNumberFormat="1" applyFill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165" fontId="0" fillId="0" borderId="0" xfId="0" applyNumberFormat="1" applyAlignment="1">
      <alignment wrapText="1"/>
    </xf>
    <xf numFmtId="167" fontId="9" fillId="0" borderId="0" xfId="3" applyNumberFormat="1" applyFont="1" applyAlignment="1">
      <alignment wrapText="1"/>
    </xf>
    <xf numFmtId="167" fontId="0" fillId="0" borderId="0" xfId="0" applyNumberFormat="1" applyAlignment="1">
      <alignment wrapText="1"/>
    </xf>
    <xf numFmtId="170" fontId="9" fillId="0" borderId="0" xfId="1" applyNumberFormat="1" applyFont="1"/>
    <xf numFmtId="164" fontId="4" fillId="0" borderId="0" xfId="5" applyNumberFormat="1" applyFont="1" applyAlignment="1">
      <alignment horizontal="center"/>
    </xf>
    <xf numFmtId="168" fontId="0" fillId="2" borderId="3" xfId="0" applyNumberFormat="1" applyFill="1" applyBorder="1" applyAlignment="1">
      <alignment horizontal="center"/>
    </xf>
    <xf numFmtId="168" fontId="0" fillId="0" borderId="0" xfId="0" applyNumberFormat="1" applyBorder="1"/>
    <xf numFmtId="168" fontId="0" fillId="2" borderId="1" xfId="0" applyNumberFormat="1" applyFill="1" applyBorder="1" applyAlignment="1">
      <alignment horizontal="center"/>
    </xf>
    <xf numFmtId="14" fontId="5" fillId="2" borderId="3" xfId="0" applyNumberFormat="1" applyFont="1" applyFill="1" applyBorder="1" applyAlignment="1">
      <alignment horizontal="center"/>
    </xf>
    <xf numFmtId="167" fontId="9" fillId="0" borderId="0" xfId="3" applyNumberFormat="1" applyFont="1" applyAlignment="1">
      <alignment wrapText="1"/>
    </xf>
    <xf numFmtId="165" fontId="11" fillId="0" borderId="0" xfId="0" applyNumberFormat="1" applyFont="1" applyAlignment="1">
      <alignment wrapText="1"/>
    </xf>
    <xf numFmtId="9" fontId="2" fillId="0" borderId="0" xfId="5" applyFont="1"/>
    <xf numFmtId="14" fontId="4" fillId="2" borderId="1" xfId="0" applyNumberFormat="1" applyFont="1" applyFill="1" applyBorder="1"/>
    <xf numFmtId="165" fontId="0" fillId="5" borderId="0" xfId="0" applyNumberFormat="1" applyFill="1"/>
    <xf numFmtId="165" fontId="0" fillId="6" borderId="0" xfId="0" applyNumberFormat="1" applyFill="1"/>
    <xf numFmtId="43" fontId="9" fillId="0" borderId="0" xfId="1" applyFont="1"/>
    <xf numFmtId="43" fontId="9" fillId="0" borderId="0" xfId="1" applyFont="1" applyAlignment="1">
      <alignment horizontal="center"/>
    </xf>
    <xf numFmtId="43" fontId="0" fillId="0" borderId="0" xfId="0" applyNumberFormat="1"/>
    <xf numFmtId="0" fontId="0" fillId="5" borderId="0" xfId="0" applyFill="1"/>
    <xf numFmtId="0" fontId="0" fillId="5" borderId="0" xfId="0" applyFill="1" applyAlignment="1">
      <alignment horizontal="center"/>
    </xf>
    <xf numFmtId="165" fontId="10" fillId="5" borderId="0" xfId="0" applyNumberFormat="1" applyFont="1" applyFill="1" applyAlignment="1">
      <alignment wrapText="1"/>
    </xf>
    <xf numFmtId="0" fontId="0" fillId="0" borderId="0" xfId="0" pivotButton="1"/>
    <xf numFmtId="43" fontId="0" fillId="5" borderId="0" xfId="0" applyNumberFormat="1" applyFill="1"/>
    <xf numFmtId="168" fontId="0" fillId="0" borderId="0" xfId="0" applyNumberFormat="1" applyFill="1"/>
    <xf numFmtId="165" fontId="0" fillId="0" borderId="0" xfId="0" applyNumberFormat="1" applyFill="1" applyAlignment="1">
      <alignment horizontal="center"/>
    </xf>
    <xf numFmtId="43" fontId="9" fillId="0" borderId="0" xfId="1" applyFont="1" applyFill="1" applyAlignment="1">
      <alignment horizontal="center"/>
    </xf>
    <xf numFmtId="43" fontId="9" fillId="5" borderId="0" xfId="1" applyFont="1" applyFill="1"/>
    <xf numFmtId="43" fontId="9" fillId="0" borderId="0" xfId="1" applyFont="1"/>
    <xf numFmtId="14" fontId="9" fillId="0" borderId="0" xfId="1" applyNumberFormat="1" applyFont="1"/>
    <xf numFmtId="14" fontId="9" fillId="0" borderId="0" xfId="1" applyNumberFormat="1" applyFont="1"/>
    <xf numFmtId="14" fontId="0" fillId="0" borderId="0" xfId="0" quotePrefix="1" applyNumberFormat="1"/>
    <xf numFmtId="0" fontId="0" fillId="0" borderId="0" xfId="0" applyAlignment="1">
      <alignment wrapText="1" shrinkToFit="1"/>
    </xf>
    <xf numFmtId="43" fontId="9" fillId="0" borderId="0" xfId="2" applyFont="1"/>
    <xf numFmtId="14" fontId="9" fillId="0" borderId="0" xfId="1" applyNumberFormat="1" applyFont="1"/>
    <xf numFmtId="43" fontId="9" fillId="0" borderId="0" xfId="1" applyFont="1"/>
    <xf numFmtId="0" fontId="0" fillId="0" borderId="0" xfId="0" pivotButton="1" applyAlignment="1">
      <alignment horizontal="right"/>
    </xf>
    <xf numFmtId="14" fontId="0" fillId="0" borderId="0" xfId="0" applyNumberFormat="1" applyAlignment="1">
      <alignment horizontal="right"/>
    </xf>
    <xf numFmtId="43" fontId="9" fillId="0" borderId="0" xfId="1" applyFont="1"/>
    <xf numFmtId="14" fontId="9" fillId="0" borderId="0" xfId="1" applyNumberFormat="1" applyFont="1"/>
    <xf numFmtId="164" fontId="1" fillId="0" borderId="0" xfId="5" applyNumberFormat="1" applyFont="1"/>
    <xf numFmtId="9" fontId="4" fillId="0" borderId="0" xfId="5" applyFont="1"/>
    <xf numFmtId="0" fontId="0" fillId="7" borderId="0" xfId="0" applyFill="1"/>
    <xf numFmtId="43" fontId="0" fillId="7" borderId="0" xfId="0" applyNumberFormat="1" applyFill="1"/>
    <xf numFmtId="43" fontId="9" fillId="0" borderId="0" xfId="1" applyFont="1"/>
    <xf numFmtId="165" fontId="1" fillId="0" borderId="0" xfId="3" applyNumberFormat="1" applyFont="1"/>
    <xf numFmtId="43" fontId="0" fillId="0" borderId="0" xfId="0" applyNumberFormat="1" applyFill="1"/>
    <xf numFmtId="10" fontId="0" fillId="0" borderId="0" xfId="0" applyNumberFormat="1"/>
    <xf numFmtId="14" fontId="0" fillId="5" borderId="0" xfId="0" applyNumberFormat="1" applyFill="1"/>
    <xf numFmtId="0" fontId="0" fillId="8" borderId="0" xfId="0" applyFill="1" applyAlignment="1">
      <alignment horizontal="center"/>
    </xf>
  </cellXfs>
  <cellStyles count="6">
    <cellStyle name="Comma" xfId="1" builtinId="3"/>
    <cellStyle name="Comma 2" xfId="2"/>
    <cellStyle name="Currency" xfId="3" builtinId="4"/>
    <cellStyle name="Normal" xfId="0" builtinId="0"/>
    <cellStyle name="Normal 2" xfId="4"/>
    <cellStyle name="Percent" xfId="5" builtinId="5"/>
  </cellStyles>
  <dxfs count="236">
    <dxf>
      <numFmt numFmtId="35" formatCode="_(* #,##0.00_);_(* \(#,##0.00\);_(* &quot;-&quot;??_);_(@_)"/>
    </dxf>
    <dxf>
      <numFmt numFmtId="19" formatCode="m/d/yyyy"/>
    </dxf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9" formatCode="m/d/yyyy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fgColor indexed="64"/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numFmt numFmtId="35" formatCode="_(* #,##0.00_);_(* \(#,##0.00\);_(* &quot;-&quot;??_);_(@_)"/>
    </dxf>
    <dxf>
      <numFmt numFmtId="19" formatCode="m/d/yyyy"/>
    </dxf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9" formatCode="m/d/yyyy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fgColor indexed="64"/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alignment wrapText="1" readingOrder="0"/>
    </dxf>
    <dxf>
      <alignment shrinkToFit="1" readingOrder="0"/>
    </dxf>
    <dxf>
      <numFmt numFmtId="35" formatCode="_(* #,##0.00_);_(* \(#,##0.00\);_(* &quot;-&quot;??_);_(@_)"/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9" formatCode="m/d/yyyy"/>
    </dxf>
    <dxf>
      <numFmt numFmtId="19" formatCode="m/d/yyyy"/>
    </dxf>
    <dxf>
      <numFmt numFmtId="35" formatCode="_(* #,##0.00_);_(* \(#,##0.0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gguevara/Local%20Settings/Temporary%20Internet%20Files/Content.Outlook/36HTJJ64/CF%20ADM%20Invoi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TACOA"/>
      <sheetName val="LA RAISA"/>
      <sheetName val="TERMO ZULIA"/>
      <sheetName val="Guarenas"/>
    </sheetNames>
    <sheetDataSet>
      <sheetData sheetId="0"/>
      <sheetData sheetId="1"/>
      <sheetData sheetId="2">
        <row r="3">
          <cell r="C3">
            <v>4193459</v>
          </cell>
        </row>
        <row r="4">
          <cell r="C4">
            <v>10483646.75</v>
          </cell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guevara" refreshedDate="40371.41280046296" createdVersion="1" refreshedVersion="3" recordCount="25" upgradeOnRefresh="1">
  <cacheSource type="worksheet">
    <worksheetSource ref="C5:L30" sheet="Datos"/>
  </cacheSource>
  <cacheFields count="10">
    <cacheField name="Project" numFmtId="0">
      <sharedItems count="4">
        <s v="Tacoa"/>
        <s v="La Raisa"/>
        <s v="CVGA"/>
        <s v="EL Furrial"/>
      </sharedItems>
    </cacheField>
    <cacheField name="CO Number" numFmtId="0">
      <sharedItems count="23">
        <s v="T-9003A-CO-001"/>
        <s v="T-9003A-CO-008"/>
        <s v="T-9003A-CO-009"/>
        <s v="T-9003A-CO-010"/>
        <s v="T-9003A-CO-011"/>
        <s v="T-9003A-CO-012"/>
        <s v="T-9003ACO-013"/>
        <s v="T-9003ACO-014"/>
        <s v="T-9003A-CO-015"/>
        <s v="T-9003A-CO-016"/>
        <s v="T-9003A-CO-017"/>
        <s v="T-9018-CO-001"/>
        <s v="T-9018-CO-004"/>
        <s v="T-9018-CO-005"/>
        <s v="T-9018-CO-006"/>
        <s v="T-9018-CO-007"/>
        <s v="T-9018-CO-008"/>
        <s v="410-3202-co-002"/>
        <s v="10-T1004-Co-001"/>
        <s v="10-T1004-Co-002"/>
        <s v="10-T1004-Co-003"/>
        <s v="10-T1004-Co-004"/>
        <s v="10-T1004-Co-005"/>
      </sharedItems>
    </cacheField>
    <cacheField name="Currency" numFmtId="0">
      <sharedItems count="2">
        <s v="USD"/>
        <s v="VEF"/>
      </sharedItems>
    </cacheField>
    <cacheField name="IV Number" numFmtId="0">
      <sharedItems containsString="0" containsBlank="1" containsNumber="1" containsInteger="1" minValue="164" maxValue="2000207" count="25">
        <n v="100367"/>
        <n v="100373"/>
        <n v="100368"/>
        <n v="100371"/>
        <n v="100369"/>
        <n v="100370"/>
        <n v="100372"/>
        <n v="100374"/>
        <n v="100375"/>
        <n v="168"/>
        <n v="100388"/>
        <n v="165"/>
        <n v="100376"/>
        <n v="166"/>
        <n v="100377"/>
        <n v="100378"/>
        <n v="100379"/>
        <n v="100380"/>
        <n v="164"/>
        <n v="2000207"/>
        <n v="179"/>
        <n v="180"/>
        <n v="181"/>
        <m/>
        <n v="182"/>
      </sharedItems>
    </cacheField>
    <cacheField name="Date Invoiced" numFmtId="0">
      <sharedItems containsNonDate="0" containsDate="1" containsString="0" containsBlank="1" minDate="2010-05-21T00:00:00" maxDate="2010-07-10T00:00:00" count="6">
        <d v="2010-05-31T00:00:00"/>
        <d v="2010-05-21T00:00:00"/>
        <d v="2010-06-01T00:00:00"/>
        <d v="2010-06-25T00:00:00"/>
        <d v="2010-07-09T00:00:00"/>
        <m/>
      </sharedItems>
    </cacheField>
    <cacheField name="Brief Description" numFmtId="0">
      <sharedItems count="23">
        <s v="Relocation of liquid fue offloading station as orginally desinged and proposed"/>
        <s v="The LM6000 gas compressor Movement south"/>
        <s v="Removal of existing fuel oil line on the south hill"/>
        <s v="A GSU protection panel added"/>
        <s v="Road around unit 100 and 200 was added"/>
        <s v="Hot tap line main gas line"/>
        <s v="LM2500 KV Feeder from GTG Circuit brakers to the EDC GSU Transformers"/>
        <s v="LM6000 KV Feeder and Inter Tie with EDC transmission Line"/>
        <s v="LM600 Gas Compressor nstreumentation"/>
        <s v="Extra Work Support. Inserven"/>
        <s v="Movement of Second 69K"/>
        <s v="Change from Single gas Pipe to IndividualRuns For Gas"/>
        <s v="15KV Auxilary Power."/>
        <s v="5KV Auxilary Power."/>
        <s v="Add 3 Nema 3R fused disconnect Switches"/>
        <s v="Install Fire Water system"/>
        <s v="Labor and Materials Required"/>
        <s v="Supply of fire protection skid package"/>
        <s v="Extra Work to Correct the FootPrint"/>
        <s v="Construction of 1.8M Fence with 11 gauge cyclone mesh with 6 lines of barbwire"/>
        <s v="Over Excavation of foot print area. Back Fill removal engineered fill"/>
        <s v="Waitng for Approval"/>
        <s v="Temporary Electricity and Potable water at site"/>
      </sharedItems>
    </cacheField>
    <cacheField name="VEF B/T" numFmtId="0">
      <sharedItems containsString="0" containsBlank="1" containsNumber="1" minValue="183775.9" maxValue="3393615.4999999995"/>
    </cacheField>
    <cacheField name="VAT VEF" numFmtId="0">
      <sharedItems containsString="0" containsBlank="1" containsNumber="1" minValue="0" maxValue="407233.85999999993"/>
    </cacheField>
    <cacheField name="Total VEF" numFmtId="0">
      <sharedItems containsString="0" containsBlank="1" containsNumber="1" minValue="0" maxValue="3800849.36"/>
    </cacheField>
    <cacheField name="USD" numFmtId="0">
      <sharedItems containsString="0" containsBlank="1" containsNumber="1" minValue="8000" maxValue="1139908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guevara" refreshedDate="40372.572851851852" createdVersion="1" refreshedVersion="3" recordCount="61" upgradeOnRefresh="1">
  <cacheSource type="worksheet">
    <worksheetSource ref="D5:N100" sheet="Summary Data"/>
  </cacheSource>
  <cacheFields count="11">
    <cacheField name="Project" numFmtId="0">
      <sharedItems containsBlank="1" count="10">
        <s v="Tacoa 2500"/>
        <s v="Tacoa 6000"/>
        <s v="La Raisa"/>
        <s v="Termozulia"/>
        <s v="Guarenas"/>
        <s v="All Proejects"/>
        <s v="Las Morochas"/>
        <s v="Furrial"/>
        <m/>
        <s v="EL Furrial" u="1"/>
      </sharedItems>
    </cacheField>
    <cacheField name="Milestone" numFmtId="0">
      <sharedItems containsBlank="1" containsMixedTypes="1" containsNumber="1" containsInteger="1" minValue="1" maxValue="172" count="23">
        <s v="Down Payment"/>
        <n v="1"/>
        <n v="2"/>
        <n v="3"/>
        <n v="4"/>
        <n v="5"/>
        <n v="6"/>
        <n v="7"/>
        <n v="8"/>
        <s v="Civil Work"/>
        <s v="Electrical Work"/>
        <s v="T-9003A-CO-016"/>
        <s v="T-9003A-CO-017"/>
        <s v="T-9018-CO-001"/>
        <s v="T-9018-CO-008"/>
        <s v="Services to different projects"/>
        <s v="10-T1004-Co-001"/>
        <s v="10-T1004-Co-002"/>
        <s v="10-T1004-Co-003"/>
        <s v="10-T1004-Co-004"/>
        <s v="10-T1004-Co-005"/>
        <m/>
        <n v="172" u="1"/>
      </sharedItems>
    </cacheField>
    <cacheField name="Cost B/T" numFmtId="0">
      <sharedItems containsString="0" containsBlank="1" containsNumber="1" minValue="183775.9" maxValue="29897345.399999999"/>
    </cacheField>
    <cacheField name="Invoice Date" numFmtId="0">
      <sharedItems containsDate="1" containsBlank="1" containsMixedTypes="1" minDate="1899-12-31T00:00:00" maxDate="2010-09-08T00:00:00" count="21">
        <d v="2009-07-21T00:00:00"/>
        <s v="8/3/09 &amp; 12/7/09"/>
        <d v="2010-02-10T00:00:00"/>
        <d v="2010-05-04T00:00:00"/>
        <d v="2010-01-21T00:00:00"/>
        <d v="2010-04-06T00:00:00"/>
        <d v="2010-04-07T00:00:00"/>
        <d v="2010-05-13T00:00:00"/>
        <n v="40337"/>
        <d v="2009-10-02T00:00:00"/>
        <d v="2010-03-17T00:00:00"/>
        <n v="40254"/>
        <d v="2010-06-07T00:00:00"/>
        <n v="0"/>
        <d v="2010-06-02T00:00:00"/>
        <d v="2010-06-01T00:00:00"/>
        <s v="21/06/2010"/>
        <s v="23/06/2010"/>
        <m/>
        <d v="2010-09-07T00:00:00"/>
        <d v="2010-07-09T00:00:00"/>
      </sharedItems>
    </cacheField>
    <cacheField name="Date Paid" numFmtId="0">
      <sharedItems containsDate="1" containsBlank="1" containsMixedTypes="1" minDate="2009-10-10T00:00:00" maxDate="2020-05-29T00:00:00" count="15">
        <s v="7/21/2009 &amp; 9-14"/>
        <d v="2009-10-25T00:00:00"/>
        <d v="2010-02-08T00:00:00"/>
        <d v="2010-02-11T00:00:00"/>
        <s v="-"/>
        <s v="7/21/2009 &amp; 9/14/09"/>
        <d v="2010-01-25T00:00:00"/>
        <d v="2010-04-15T00:00:00"/>
        <s v="15/06/2010"/>
        <d v="2020-05-28T00:00:00"/>
        <d v="2009-10-10T00:00:00"/>
        <d v="2010-04-05T00:00:00"/>
        <s v="21-30/06/2010"/>
        <m/>
        <s v="21-30/06" u="1"/>
      </sharedItems>
    </cacheField>
    <cacheField name="Inoviced B/T" numFmtId="0">
      <sharedItems containsString="0" containsBlank="1" containsNumber="1" minValue="0" maxValue="29897345.399999999"/>
    </cacheField>
    <cacheField name="VAT" numFmtId="0">
      <sharedItems containsString="0" containsBlank="1" containsNumber="1" minValue="0" maxValue="3587681.4479999999"/>
    </cacheField>
    <cacheField name="WH" numFmtId="0">
      <sharedItems containsString="0" containsBlank="1" containsNumber="1" minValue="-1345380.5429999998" maxValue="0"/>
    </cacheField>
    <cacheField name="Total Invoiced" numFmtId="0">
      <sharedItems containsString="0" containsBlank="1" containsNumber="1" minValue="0" maxValue="32139646.304999996"/>
    </cacheField>
    <cacheField name="Paid" numFmtId="0">
      <sharedItems containsString="0" containsBlank="1" containsNumber="1" minValue="0" maxValue="30000000"/>
    </cacheField>
    <cacheField name="Balance" numFmtId="0">
      <sharedItems containsString="0" containsBlank="1" containsNumber="1" minValue="-6761952.1537499996" maxValue="32139646.304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  <x v="0"/>
    <x v="0"/>
    <m/>
    <m/>
    <m/>
    <n v="30000"/>
  </r>
  <r>
    <x v="0"/>
    <x v="1"/>
    <x v="0"/>
    <x v="1"/>
    <x v="1"/>
    <x v="1"/>
    <m/>
    <m/>
    <m/>
    <n v="8000"/>
  </r>
  <r>
    <x v="0"/>
    <x v="2"/>
    <x v="0"/>
    <x v="2"/>
    <x v="0"/>
    <x v="2"/>
    <m/>
    <m/>
    <m/>
    <n v="90000"/>
  </r>
  <r>
    <x v="0"/>
    <x v="3"/>
    <x v="0"/>
    <x v="3"/>
    <x v="0"/>
    <x v="3"/>
    <m/>
    <m/>
    <m/>
    <n v="45000"/>
  </r>
  <r>
    <x v="0"/>
    <x v="4"/>
    <x v="0"/>
    <x v="4"/>
    <x v="0"/>
    <x v="4"/>
    <m/>
    <m/>
    <m/>
    <n v="100000"/>
  </r>
  <r>
    <x v="0"/>
    <x v="5"/>
    <x v="0"/>
    <x v="5"/>
    <x v="1"/>
    <x v="5"/>
    <m/>
    <m/>
    <m/>
    <n v="45000"/>
  </r>
  <r>
    <x v="0"/>
    <x v="6"/>
    <x v="0"/>
    <x v="6"/>
    <x v="1"/>
    <x v="6"/>
    <m/>
    <m/>
    <m/>
    <n v="1061000"/>
  </r>
  <r>
    <x v="0"/>
    <x v="7"/>
    <x v="0"/>
    <x v="7"/>
    <x v="1"/>
    <x v="7"/>
    <m/>
    <m/>
    <m/>
    <n v="599000"/>
  </r>
  <r>
    <x v="0"/>
    <x v="8"/>
    <x v="0"/>
    <x v="8"/>
    <x v="0"/>
    <x v="8"/>
    <m/>
    <m/>
    <m/>
    <n v="86000"/>
  </r>
  <r>
    <x v="0"/>
    <x v="9"/>
    <x v="1"/>
    <x v="9"/>
    <x v="2"/>
    <x v="9"/>
    <n v="3393615.4999999995"/>
    <n v="407233.85999999993"/>
    <n v="3800849.36"/>
    <m/>
  </r>
  <r>
    <x v="0"/>
    <x v="9"/>
    <x v="0"/>
    <x v="10"/>
    <x v="0"/>
    <x v="9"/>
    <m/>
    <m/>
    <m/>
    <n v="1139908.5"/>
  </r>
  <r>
    <x v="0"/>
    <x v="10"/>
    <x v="1"/>
    <x v="11"/>
    <x v="2"/>
    <x v="10"/>
    <n v="2048962.3749999998"/>
    <n v="245875.48499999996"/>
    <n v="2294837.86"/>
    <m/>
  </r>
  <r>
    <x v="1"/>
    <x v="11"/>
    <x v="0"/>
    <x v="12"/>
    <x v="0"/>
    <x v="11"/>
    <m/>
    <m/>
    <m/>
    <n v="116684"/>
  </r>
  <r>
    <x v="1"/>
    <x v="11"/>
    <x v="1"/>
    <x v="13"/>
    <x v="2"/>
    <x v="11"/>
    <n v="374843.74999999994"/>
    <n v="44981.249999999993"/>
    <n v="419825"/>
    <m/>
  </r>
  <r>
    <x v="1"/>
    <x v="12"/>
    <x v="0"/>
    <x v="14"/>
    <x v="0"/>
    <x v="12"/>
    <m/>
    <m/>
    <m/>
    <n v="896220"/>
  </r>
  <r>
    <x v="1"/>
    <x v="13"/>
    <x v="0"/>
    <x v="15"/>
    <x v="0"/>
    <x v="13"/>
    <m/>
    <m/>
    <m/>
    <n v="773180"/>
  </r>
  <r>
    <x v="1"/>
    <x v="14"/>
    <x v="0"/>
    <x v="16"/>
    <x v="0"/>
    <x v="14"/>
    <m/>
    <m/>
    <m/>
    <n v="76500"/>
  </r>
  <r>
    <x v="1"/>
    <x v="15"/>
    <x v="0"/>
    <x v="17"/>
    <x v="0"/>
    <x v="15"/>
    <m/>
    <m/>
    <m/>
    <n v="326250"/>
  </r>
  <r>
    <x v="1"/>
    <x v="16"/>
    <x v="1"/>
    <x v="18"/>
    <x v="2"/>
    <x v="16"/>
    <n v="730291.41071428568"/>
    <n v="87634.96928571428"/>
    <n v="817926.38"/>
    <m/>
  </r>
  <r>
    <x v="2"/>
    <x v="17"/>
    <x v="0"/>
    <x v="19"/>
    <x v="3"/>
    <x v="17"/>
    <m/>
    <m/>
    <m/>
    <n v="262913"/>
  </r>
  <r>
    <x v="3"/>
    <x v="18"/>
    <x v="1"/>
    <x v="20"/>
    <x v="4"/>
    <x v="18"/>
    <n v="1102301.6100000001"/>
    <n v="132276.19320000001"/>
    <n v="1234577.8032000002"/>
    <m/>
  </r>
  <r>
    <x v="3"/>
    <x v="19"/>
    <x v="1"/>
    <x v="21"/>
    <x v="4"/>
    <x v="19"/>
    <n v="934339.23"/>
    <n v="112120.70759999999"/>
    <n v="1046459.9375999999"/>
    <m/>
  </r>
  <r>
    <x v="3"/>
    <x v="20"/>
    <x v="1"/>
    <x v="22"/>
    <x v="4"/>
    <x v="20"/>
    <n v="2673144.15"/>
    <n v="320777.29799999995"/>
    <n v="2993921.4479999999"/>
    <m/>
  </r>
  <r>
    <x v="3"/>
    <x v="21"/>
    <x v="1"/>
    <x v="23"/>
    <x v="5"/>
    <x v="21"/>
    <m/>
    <n v="0"/>
    <n v="0"/>
    <m/>
  </r>
  <r>
    <x v="3"/>
    <x v="22"/>
    <x v="1"/>
    <x v="24"/>
    <x v="4"/>
    <x v="22"/>
    <n v="183775.9"/>
    <n v="22053.108"/>
    <n v="205829.008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1">
  <r>
    <x v="0"/>
    <x v="0"/>
    <n v="1021895"/>
    <x v="0"/>
    <x v="0"/>
    <n v="1021895"/>
    <n v="122627.4"/>
    <n v="-45985.275000000001"/>
    <n v="1098537.125"/>
    <n v="1144522.3999999999"/>
    <n v="-45985.274999999907"/>
  </r>
  <r>
    <x v="0"/>
    <x v="1"/>
    <n v="2554737.5"/>
    <x v="1"/>
    <x v="1"/>
    <n v="2554737.5"/>
    <n v="306568.5"/>
    <n v="-114963.1875"/>
    <n v="2746342.8125"/>
    <n v="2700357.5325000002"/>
    <n v="45985.279999999795"/>
  </r>
  <r>
    <x v="0"/>
    <x v="2"/>
    <n v="1021895"/>
    <x v="1"/>
    <x v="2"/>
    <n v="510947.5"/>
    <n v="61313.7"/>
    <n v="-22992.637500000001"/>
    <n v="549268.5625"/>
    <n v="549268.5625"/>
    <n v="0"/>
  </r>
  <r>
    <x v="0"/>
    <x v="3"/>
    <n v="1532842.5"/>
    <x v="2"/>
    <x v="3"/>
    <n v="1532842.5"/>
    <n v="183941.1"/>
    <n v="-68977.912499999991"/>
    <n v="1647805.6875"/>
    <n v="1647805.6875"/>
    <n v="0"/>
  </r>
  <r>
    <x v="0"/>
    <x v="4"/>
    <n v="1021895"/>
    <x v="3"/>
    <x v="4"/>
    <n v="1532842.5"/>
    <n v="183941.1"/>
    <n v="-68977.912499999991"/>
    <n v="1647805.6875"/>
    <n v="0"/>
    <n v="1647805.6875"/>
  </r>
  <r>
    <x v="0"/>
    <x v="5"/>
    <n v="1021895"/>
    <x v="3"/>
    <x v="4"/>
    <n v="1021895"/>
    <n v="122627.4"/>
    <n v="-45985.275000000001"/>
    <n v="1098537.125"/>
    <n v="0"/>
    <n v="1098537.125"/>
  </r>
  <r>
    <x v="0"/>
    <x v="6"/>
    <n v="1532842.5"/>
    <x v="3"/>
    <x v="4"/>
    <n v="1532842.5"/>
    <n v="183941.1"/>
    <n v="-68977.912499999991"/>
    <n v="1647805.6875"/>
    <n v="0"/>
    <n v="1647805.6875"/>
  </r>
  <r>
    <x v="0"/>
    <x v="7"/>
    <n v="510947.5"/>
    <x v="3"/>
    <x v="4"/>
    <n v="510947.5"/>
    <n v="61313.7"/>
    <n v="-22992.637500000001"/>
    <n v="549268.5625"/>
    <n v="0"/>
    <n v="549268.5625"/>
  </r>
  <r>
    <x v="1"/>
    <x v="0"/>
    <n v="1126815"/>
    <x v="0"/>
    <x v="5"/>
    <n v="1126815"/>
    <n v="135217.79999999999"/>
    <n v="-50706.674999999996"/>
    <n v="1211326.125"/>
    <n v="1262032.8"/>
    <n v="-50706.675000000047"/>
  </r>
  <r>
    <x v="1"/>
    <x v="1"/>
    <n v="2817037.5"/>
    <x v="1"/>
    <x v="1"/>
    <n v="2817037.5"/>
    <n v="338044.5"/>
    <n v="-126766.6875"/>
    <n v="3028315.3125"/>
    <n v="2977608.6324999998"/>
    <n v="50706.680000000168"/>
  </r>
  <r>
    <x v="1"/>
    <x v="2"/>
    <n v="1126815"/>
    <x v="1"/>
    <x v="2"/>
    <n v="563407.5"/>
    <n v="67608.899999999994"/>
    <n v="-25353.337499999998"/>
    <n v="605663.0625"/>
    <n v="605663.0625"/>
    <n v="0"/>
  </r>
  <r>
    <x v="1"/>
    <x v="3"/>
    <n v="1690222.5"/>
    <x v="2"/>
    <x v="3"/>
    <n v="1690222.5"/>
    <n v="202826.69999999998"/>
    <n v="-76060.012499999997"/>
    <n v="1816989.1875"/>
    <n v="1816989.1875"/>
    <n v="0"/>
  </r>
  <r>
    <x v="1"/>
    <x v="4"/>
    <n v="1126815"/>
    <x v="3"/>
    <x v="4"/>
    <n v="1663222.5"/>
    <n v="199586.69999999998"/>
    <n v="-74845.012499999997"/>
    <n v="1787964.1875"/>
    <n v="0"/>
    <n v="1787964.1875"/>
  </r>
  <r>
    <x v="1"/>
    <x v="5"/>
    <n v="1126815"/>
    <x v="3"/>
    <x v="4"/>
    <n v="1126815"/>
    <n v="135217.79999999999"/>
    <n v="-50706.674999999996"/>
    <n v="1211326.125"/>
    <n v="0"/>
    <n v="1211326.125"/>
  </r>
  <r>
    <x v="1"/>
    <x v="6"/>
    <n v="1690222.5"/>
    <x v="3"/>
    <x v="4"/>
    <n v="1690222.5"/>
    <n v="202826.69999999998"/>
    <n v="-76060.012499999997"/>
    <n v="1816989.1875"/>
    <n v="0"/>
    <n v="1816989.1875"/>
  </r>
  <r>
    <x v="1"/>
    <x v="7"/>
    <n v="563407.5"/>
    <x v="3"/>
    <x v="4"/>
    <n v="563407.5"/>
    <n v="67608.899999999994"/>
    <n v="-25353.337499999998"/>
    <n v="605663.0625"/>
    <n v="0"/>
    <n v="605663.0625"/>
  </r>
  <r>
    <x v="2"/>
    <x v="0"/>
    <n v="10483646.75"/>
    <x v="4"/>
    <x v="6"/>
    <n v="10483646.75"/>
    <n v="1258037.6099999999"/>
    <n v="-471764.10375000001"/>
    <n v="11269920.25625"/>
    <n v="4507968.4249999998"/>
    <n v="6761951.8312499998"/>
  </r>
  <r>
    <x v="2"/>
    <x v="1"/>
    <n v="4193458.7"/>
    <x v="5"/>
    <x v="7"/>
    <n v="4193458.7"/>
    <n v="503215.04399999999"/>
    <n v="-188705.6415"/>
    <n v="4507968.1025"/>
    <n v="11269920.25625"/>
    <n v="-6761952.1537499996"/>
  </r>
  <r>
    <x v="2"/>
    <x v="2"/>
    <n v="2096729.35"/>
    <x v="5"/>
    <x v="8"/>
    <n v="2096729.35"/>
    <n v="251607.522"/>
    <n v="-94352.820749999999"/>
    <n v="2253984.05125"/>
    <n v="2253984.05125"/>
    <n v="0"/>
  </r>
  <r>
    <x v="2"/>
    <x v="3"/>
    <n v="6290188.0500000007"/>
    <x v="6"/>
    <x v="9"/>
    <n v="6290188.0500000007"/>
    <n v="754822.56600000011"/>
    <n v="-283058.46225000004"/>
    <n v="6761952.1537500005"/>
    <n v="6761952.1537500005"/>
    <n v="0"/>
  </r>
  <r>
    <x v="2"/>
    <x v="4"/>
    <n v="6290188.0499999989"/>
    <x v="7"/>
    <x v="9"/>
    <n v="6290188.0499999989"/>
    <n v="754822.56599999988"/>
    <n v="-283058.46224999992"/>
    <n v="6761952.1537499987"/>
    <n v="6761952.1537499987"/>
    <n v="0"/>
  </r>
  <r>
    <x v="2"/>
    <x v="5"/>
    <n v="6290188.0500000007"/>
    <x v="7"/>
    <x v="4"/>
    <n v="6290188.0500000007"/>
    <n v="754822.56600000011"/>
    <n v="-283058.46225000004"/>
    <n v="6761952.1537500005"/>
    <n v="0"/>
    <n v="6761952.1537500005"/>
  </r>
  <r>
    <x v="2"/>
    <x v="6"/>
    <n v="2096729.35"/>
    <x v="7"/>
    <x v="4"/>
    <n v="2096729.35"/>
    <n v="251607.522"/>
    <n v="-94352.820749999999"/>
    <n v="2253984.05125"/>
    <n v="0"/>
    <n v="2253984.05125"/>
  </r>
  <r>
    <x v="2"/>
    <x v="7"/>
    <n v="2096729.3500000003"/>
    <x v="8"/>
    <x v="4"/>
    <n v="2096729.3500000003"/>
    <n v="251607.52200000003"/>
    <n v="-94352.820750000014"/>
    <n v="2253984.0512500005"/>
    <n v="0"/>
    <n v="2253984.0512500005"/>
  </r>
  <r>
    <x v="2"/>
    <x v="8"/>
    <n v="2096729.35"/>
    <x v="8"/>
    <x v="4"/>
    <n v="2096729.35"/>
    <n v="251607.522"/>
    <n v="-94352.820749999999"/>
    <n v="2253984.05125"/>
    <n v="0"/>
    <n v="2253984.05125"/>
  </r>
  <r>
    <x v="3"/>
    <x v="0"/>
    <n v="9890000"/>
    <x v="9"/>
    <x v="10"/>
    <n v="9890000"/>
    <n v="0"/>
    <n v="0"/>
    <n v="9890000"/>
    <n v="9890000"/>
    <n v="0"/>
  </r>
  <r>
    <x v="3"/>
    <x v="9"/>
    <n v="4945000"/>
    <x v="10"/>
    <x v="4"/>
    <n v="4945000"/>
    <n v="0"/>
    <n v="0"/>
    <n v="4945000"/>
    <n v="4945000"/>
    <n v="0"/>
  </r>
  <r>
    <x v="3"/>
    <x v="10"/>
    <n v="4945000"/>
    <x v="11"/>
    <x v="4"/>
    <n v="4945000"/>
    <n v="0"/>
    <n v="0"/>
    <n v="4945000"/>
    <n v="0"/>
    <n v="4945000"/>
  </r>
  <r>
    <x v="4"/>
    <x v="0"/>
    <n v="10421177.5"/>
    <x v="7"/>
    <x v="11"/>
    <n v="10421177.5"/>
    <n v="1250541.3"/>
    <n v="-468952.98749999999"/>
    <n v="11202765.8125"/>
    <n v="10421177.5"/>
    <n v="781588.3125"/>
  </r>
  <r>
    <x v="4"/>
    <x v="1"/>
    <n v="4168471"/>
    <x v="12"/>
    <x v="4"/>
    <n v="4168471"/>
    <n v="500216.51999999996"/>
    <n v="-187581.19500000001"/>
    <n v="4481106.3249999993"/>
    <n v="0"/>
    <n v="4481106.3249999993"/>
  </r>
  <r>
    <x v="4"/>
    <x v="2"/>
    <n v="6252706.5"/>
    <x v="13"/>
    <x v="4"/>
    <n v="0"/>
    <n v="0"/>
    <n v="0"/>
    <n v="0"/>
    <n v="0"/>
    <n v="0"/>
  </r>
  <r>
    <x v="4"/>
    <x v="3"/>
    <n v="6252706.5"/>
    <x v="13"/>
    <x v="4"/>
    <n v="0"/>
    <n v="0"/>
    <n v="0"/>
    <n v="0"/>
    <n v="0"/>
    <n v="0"/>
  </r>
  <r>
    <x v="4"/>
    <x v="4"/>
    <n v="4168471"/>
    <x v="13"/>
    <x v="4"/>
    <n v="0"/>
    <n v="0"/>
    <n v="0"/>
    <n v="0"/>
    <n v="0"/>
    <n v="0"/>
  </r>
  <r>
    <x v="4"/>
    <x v="5"/>
    <n v="4168471"/>
    <x v="13"/>
    <x v="4"/>
    <n v="0"/>
    <n v="0"/>
    <n v="0"/>
    <n v="0"/>
    <n v="0"/>
    <n v="0"/>
  </r>
  <r>
    <x v="4"/>
    <x v="6"/>
    <n v="2084235.5000000002"/>
    <x v="13"/>
    <x v="4"/>
    <n v="0"/>
    <n v="0"/>
    <n v="0"/>
    <n v="0"/>
    <n v="0"/>
    <n v="0"/>
  </r>
  <r>
    <x v="4"/>
    <x v="7"/>
    <n v="2084235.5000000002"/>
    <x v="13"/>
    <x v="4"/>
    <n v="0"/>
    <n v="0"/>
    <n v="0"/>
    <n v="0"/>
    <n v="0"/>
    <n v="0"/>
  </r>
  <r>
    <x v="4"/>
    <x v="8"/>
    <n v="2084235.5000000002"/>
    <x v="13"/>
    <x v="4"/>
    <n v="0"/>
    <n v="0"/>
    <n v="0"/>
    <n v="0"/>
    <n v="0"/>
    <n v="0"/>
  </r>
  <r>
    <x v="0"/>
    <x v="11"/>
    <n v="3393615.4999999995"/>
    <x v="14"/>
    <x v="4"/>
    <n v="3393615.4999999995"/>
    <n v="407233.85999999993"/>
    <n v="-152712.69749999998"/>
    <n v="3648136.6624999996"/>
    <n v="0"/>
    <n v="3648136.6624999996"/>
  </r>
  <r>
    <x v="0"/>
    <x v="12"/>
    <n v="2048962.3749999998"/>
    <x v="14"/>
    <x v="4"/>
    <n v="2048962.3749999998"/>
    <n v="245875.48499999996"/>
    <n v="-92203.30687499998"/>
    <n v="2202634.5531250001"/>
    <n v="0"/>
    <n v="2202634.5531250001"/>
  </r>
  <r>
    <x v="2"/>
    <x v="13"/>
    <n v="374843.74999999994"/>
    <x v="15"/>
    <x v="4"/>
    <n v="374843.74999999994"/>
    <n v="44981.249999999993"/>
    <n v="-16867.968749999996"/>
    <n v="402957.03124999994"/>
    <n v="0"/>
    <n v="402957.03124999994"/>
  </r>
  <r>
    <x v="2"/>
    <x v="14"/>
    <n v="730291.41071428568"/>
    <x v="15"/>
    <x v="4"/>
    <n v="730291.41071428568"/>
    <n v="87634.96928571428"/>
    <n v="-32863.113482142857"/>
    <n v="785063.26651785709"/>
    <n v="0"/>
    <n v="785063.26651785709"/>
  </r>
  <r>
    <x v="5"/>
    <x v="15"/>
    <n v="26785714.285714284"/>
    <x v="16"/>
    <x v="12"/>
    <n v="26785714.285714284"/>
    <n v="3214285.7142857141"/>
    <n v="0"/>
    <n v="29999999.999999996"/>
    <n v="30000000"/>
    <n v="0"/>
  </r>
  <r>
    <x v="6"/>
    <x v="0"/>
    <n v="7241700"/>
    <x v="17"/>
    <x v="13"/>
    <n v="7241700"/>
    <n v="869004"/>
    <n v="-586577.70000000007"/>
    <n v="7524126.2999999998"/>
    <n v="7524126.2999999998"/>
    <n v="0"/>
  </r>
  <r>
    <x v="6"/>
    <x v="1"/>
    <n v="4827800"/>
    <x v="17"/>
    <x v="13"/>
    <n v="4827800"/>
    <n v="579336"/>
    <n v="-217251"/>
    <n v="5189885"/>
    <n v="0"/>
    <n v="5189885"/>
  </r>
  <r>
    <x v="6"/>
    <x v="2"/>
    <n v="4827800"/>
    <x v="18"/>
    <x v="13"/>
    <m/>
    <m/>
    <m/>
    <m/>
    <m/>
    <m/>
  </r>
  <r>
    <x v="6"/>
    <x v="3"/>
    <n v="3620850"/>
    <x v="18"/>
    <x v="13"/>
    <m/>
    <m/>
    <m/>
    <m/>
    <m/>
    <m/>
  </r>
  <r>
    <x v="6"/>
    <x v="4"/>
    <n v="2413900"/>
    <x v="18"/>
    <x v="13"/>
    <m/>
    <m/>
    <m/>
    <m/>
    <m/>
    <m/>
  </r>
  <r>
    <x v="6"/>
    <x v="5"/>
    <n v="1206950"/>
    <x v="18"/>
    <x v="13"/>
    <m/>
    <m/>
    <m/>
    <m/>
    <m/>
    <m/>
  </r>
  <r>
    <x v="7"/>
    <x v="0"/>
    <n v="29897345.399999999"/>
    <x v="17"/>
    <x v="13"/>
    <n v="29897345.399999999"/>
    <n v="3587681.4479999999"/>
    <n v="-1345380.5429999998"/>
    <n v="32139646.304999996"/>
    <n v="0"/>
    <n v="32139646.304999996"/>
  </r>
  <r>
    <x v="7"/>
    <x v="1"/>
    <n v="19931563.600000001"/>
    <x v="18"/>
    <x v="13"/>
    <m/>
    <m/>
    <m/>
    <m/>
    <m/>
    <m/>
  </r>
  <r>
    <x v="7"/>
    <x v="2"/>
    <n v="19931563.600000001"/>
    <x v="18"/>
    <x v="13"/>
    <m/>
    <m/>
    <m/>
    <m/>
    <m/>
    <m/>
  </r>
  <r>
    <x v="7"/>
    <x v="3"/>
    <n v="14948672.700000001"/>
    <x v="18"/>
    <x v="13"/>
    <m/>
    <m/>
    <m/>
    <m/>
    <m/>
    <m/>
  </r>
  <r>
    <x v="7"/>
    <x v="4"/>
    <n v="9965781.8000000007"/>
    <x v="18"/>
    <x v="13"/>
    <m/>
    <m/>
    <m/>
    <m/>
    <m/>
    <m/>
  </r>
  <r>
    <x v="7"/>
    <x v="5"/>
    <n v="4982890.9000000004"/>
    <x v="18"/>
    <x v="13"/>
    <m/>
    <m/>
    <m/>
    <m/>
    <m/>
    <m/>
  </r>
  <r>
    <x v="5"/>
    <x v="15"/>
    <n v="13928571.428571427"/>
    <x v="19"/>
    <x v="12"/>
    <n v="13928571.428571427"/>
    <n v="1671428.5714285711"/>
    <n v="0"/>
    <n v="15599999.999999998"/>
    <n v="15600000"/>
    <n v="0"/>
  </r>
  <r>
    <x v="7"/>
    <x v="16"/>
    <n v="1102301.6100000001"/>
    <x v="20"/>
    <x v="13"/>
    <n v="1102301.6100000001"/>
    <n v="132276.19320000001"/>
    <n v="-49603.57245"/>
    <n v="1184974.2307500001"/>
    <m/>
    <n v="1184974.2307500001"/>
  </r>
  <r>
    <x v="7"/>
    <x v="17"/>
    <n v="934339.23"/>
    <x v="20"/>
    <x v="13"/>
    <n v="934339.23"/>
    <n v="112120.70759999999"/>
    <n v="-42045.265349999994"/>
    <n v="1004414.6722499999"/>
    <m/>
    <n v="1004414.6722499999"/>
  </r>
  <r>
    <x v="7"/>
    <x v="18"/>
    <n v="2673144.15"/>
    <x v="20"/>
    <x v="13"/>
    <n v="2673144.15"/>
    <n v="320777.29799999995"/>
    <n v="-120291.48675"/>
    <n v="2873629.9612499997"/>
    <m/>
    <n v="2873629.9612499997"/>
  </r>
  <r>
    <x v="7"/>
    <x v="19"/>
    <m/>
    <x v="18"/>
    <x v="13"/>
    <m/>
    <n v="0"/>
    <n v="0"/>
    <n v="0"/>
    <m/>
    <n v="0"/>
  </r>
  <r>
    <x v="7"/>
    <x v="20"/>
    <n v="183775.9"/>
    <x v="20"/>
    <x v="13"/>
    <n v="183775.9"/>
    <n v="22053.108"/>
    <n v="-8269.9154999999992"/>
    <n v="197559.0925"/>
    <m/>
    <n v="197559.0925"/>
  </r>
  <r>
    <x v="8"/>
    <x v="21"/>
    <m/>
    <x v="18"/>
    <x v="13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Data" updatedVersion="4" showMemberPropertyTips="0" useAutoFormatting="1" itemPrintTitles="1" createdVersion="1" indent="0" compact="0" compactData="0" gridDropZones="1">
  <location ref="B3:L73" firstHeaderRow="1" firstDataRow="2" firstDataCol="4"/>
  <pivotFields count="11">
    <pivotField axis="axisRow" compact="0" outline="0" subtotalTop="0" showAll="0" includeNewItemsInFilter="1">
      <items count="11">
        <item x="4"/>
        <item x="2"/>
        <item x="0"/>
        <item x="1"/>
        <item x="3"/>
        <item h="1" x="8"/>
        <item x="5"/>
        <item x="6"/>
        <item x="7"/>
        <item m="1" x="9"/>
        <item t="default"/>
      </items>
    </pivotField>
    <pivotField axis="axisRow" compact="0" outline="0" subtotalTop="0" showAll="0" includeNewItemsInFilter="1" defaultSubtota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21"/>
        <item m="1" x="22"/>
        <item x="15"/>
        <item x="16"/>
        <item x="17"/>
        <item x="18"/>
        <item x="19"/>
        <item x="20"/>
      </items>
    </pivotField>
    <pivotField dataField="1" compact="0" numFmtId="43" outline="0" subtotalTop="0" showAll="0" includeNewItemsInFilter="1"/>
    <pivotField axis="axisRow" compact="0" outline="0" subtotalTop="0" showAll="0" includeNewItemsInFilter="1" defaultSubtotal="0">
      <items count="21">
        <item x="13"/>
        <item x="1"/>
        <item x="0"/>
        <item x="9"/>
        <item x="4"/>
        <item x="2"/>
        <item x="10"/>
        <item x="5"/>
        <item x="6"/>
        <item x="3"/>
        <item x="7"/>
        <item x="12"/>
        <item x="8"/>
        <item x="11"/>
        <item x="14"/>
        <item x="15"/>
        <item x="18"/>
        <item x="16"/>
        <item x="17"/>
        <item x="19"/>
        <item x="20"/>
      </items>
    </pivotField>
    <pivotField axis="axisRow" compact="0" outline="0" subtotalTop="0" showAll="0" includeNewItemsInFilter="1" defaultSubtotal="0">
      <items count="15">
        <item x="0"/>
        <item x="1"/>
        <item x="2"/>
        <item x="3"/>
        <item x="13"/>
        <item x="5"/>
        <item x="6"/>
        <item x="7"/>
        <item x="10"/>
        <item x="11"/>
        <item x="9"/>
        <item x="4"/>
        <item x="8"/>
        <item m="1" x="14"/>
        <item x="12"/>
      </items>
    </pivotField>
    <pivotField dataField="1" compact="0" numFmtId="43" outline="0" subtotalTop="0" showAll="0" includeNewItemsInFilter="1"/>
    <pivotField dataField="1" compact="0" numFmtId="43" outline="0" subtotalTop="0" showAll="0" includeNewItemsInFilter="1" defaultSubtotal="0"/>
    <pivotField dataField="1" compact="0" numFmtId="43" outline="0" subtotalTop="0" showAll="0" includeNewItemsInFilter="1" defaultSubtotal="0"/>
    <pivotField dataField="1" compact="0" numFmtId="43" outline="0" subtotalTop="0" showAll="0" includeNewItemsInFilter="1" defaultSubtotal="0"/>
    <pivotField dataField="1" compact="0" numFmtId="43" outline="0" subtotalTop="0" showAll="0" includeNewItemsInFilter="1"/>
    <pivotField dataField="1" compact="0" numFmtId="43" outline="0" subtotalTop="0" showAll="0" includeNewItemsInFilter="1"/>
  </pivotFields>
  <rowFields count="4">
    <field x="0"/>
    <field x="1"/>
    <field x="3"/>
    <field x="4"/>
  </rowFields>
  <rowItems count="69">
    <i>
      <x/>
      <x/>
      <x v="10"/>
      <x v="9"/>
    </i>
    <i r="1">
      <x v="1"/>
      <x v="11"/>
      <x v="11"/>
    </i>
    <i r="1">
      <x v="2"/>
      <x/>
      <x v="11"/>
    </i>
    <i r="1">
      <x v="3"/>
      <x/>
      <x v="11"/>
    </i>
    <i r="1">
      <x v="4"/>
      <x/>
      <x v="11"/>
    </i>
    <i r="1">
      <x v="5"/>
      <x/>
      <x v="11"/>
    </i>
    <i r="1">
      <x v="6"/>
      <x/>
      <x v="11"/>
    </i>
    <i r="1">
      <x v="7"/>
      <x/>
      <x v="11"/>
    </i>
    <i r="1">
      <x v="8"/>
      <x/>
      <x v="11"/>
    </i>
    <i t="default">
      <x/>
    </i>
    <i>
      <x v="1"/>
      <x/>
      <x v="4"/>
      <x v="6"/>
    </i>
    <i r="1">
      <x v="1"/>
      <x v="7"/>
      <x v="7"/>
    </i>
    <i r="1">
      <x v="2"/>
      <x v="7"/>
      <x v="12"/>
    </i>
    <i r="1">
      <x v="3"/>
      <x v="8"/>
      <x v="10"/>
    </i>
    <i r="1">
      <x v="4"/>
      <x v="10"/>
      <x v="10"/>
    </i>
    <i r="1">
      <x v="5"/>
      <x v="10"/>
      <x v="11"/>
    </i>
    <i r="1">
      <x v="6"/>
      <x v="10"/>
      <x v="11"/>
    </i>
    <i r="1">
      <x v="7"/>
      <x v="12"/>
      <x v="11"/>
    </i>
    <i r="1">
      <x v="8"/>
      <x v="12"/>
      <x v="11"/>
    </i>
    <i r="1">
      <x v="13"/>
      <x v="15"/>
      <x v="11"/>
    </i>
    <i r="1">
      <x v="14"/>
      <x v="15"/>
      <x v="11"/>
    </i>
    <i t="default">
      <x v="1"/>
    </i>
    <i>
      <x v="2"/>
      <x/>
      <x v="2"/>
      <x/>
    </i>
    <i r="1">
      <x v="1"/>
      <x v="1"/>
      <x v="1"/>
    </i>
    <i r="1">
      <x v="2"/>
      <x v="1"/>
      <x v="2"/>
    </i>
    <i r="1">
      <x v="3"/>
      <x v="5"/>
      <x v="3"/>
    </i>
    <i r="1">
      <x v="4"/>
      <x v="9"/>
      <x v="11"/>
    </i>
    <i r="1">
      <x v="5"/>
      <x v="9"/>
      <x v="11"/>
    </i>
    <i r="1">
      <x v="6"/>
      <x v="9"/>
      <x v="11"/>
    </i>
    <i r="1">
      <x v="7"/>
      <x v="9"/>
      <x v="11"/>
    </i>
    <i r="1">
      <x v="11"/>
      <x v="14"/>
      <x v="11"/>
    </i>
    <i r="1">
      <x v="12"/>
      <x v="14"/>
      <x v="11"/>
    </i>
    <i t="default">
      <x v="2"/>
    </i>
    <i>
      <x v="3"/>
      <x/>
      <x v="2"/>
      <x v="5"/>
    </i>
    <i r="1">
      <x v="1"/>
      <x v="1"/>
      <x v="1"/>
    </i>
    <i r="1">
      <x v="2"/>
      <x v="1"/>
      <x v="2"/>
    </i>
    <i r="1">
      <x v="3"/>
      <x v="5"/>
      <x v="3"/>
    </i>
    <i r="1">
      <x v="4"/>
      <x v="9"/>
      <x v="11"/>
    </i>
    <i r="1">
      <x v="5"/>
      <x v="9"/>
      <x v="11"/>
    </i>
    <i r="1">
      <x v="6"/>
      <x v="9"/>
      <x v="11"/>
    </i>
    <i r="1">
      <x v="7"/>
      <x v="9"/>
      <x v="11"/>
    </i>
    <i t="default">
      <x v="3"/>
    </i>
    <i>
      <x v="4"/>
      <x/>
      <x v="3"/>
      <x v="8"/>
    </i>
    <i r="1">
      <x v="9"/>
      <x v="6"/>
      <x v="11"/>
    </i>
    <i r="1">
      <x v="10"/>
      <x v="13"/>
      <x v="11"/>
    </i>
    <i t="default">
      <x v="4"/>
    </i>
    <i>
      <x v="6"/>
      <x v="17"/>
      <x v="17"/>
      <x v="14"/>
    </i>
    <i r="2">
      <x v="19"/>
      <x v="14"/>
    </i>
    <i t="default">
      <x v="6"/>
    </i>
    <i>
      <x v="7"/>
      <x/>
      <x v="18"/>
      <x v="4"/>
    </i>
    <i r="1">
      <x v="1"/>
      <x v="18"/>
      <x v="4"/>
    </i>
    <i r="1">
      <x v="2"/>
      <x v="16"/>
      <x v="4"/>
    </i>
    <i r="1">
      <x v="3"/>
      <x v="16"/>
      <x v="4"/>
    </i>
    <i r="1">
      <x v="4"/>
      <x v="16"/>
      <x v="4"/>
    </i>
    <i r="1">
      <x v="5"/>
      <x v="16"/>
      <x v="4"/>
    </i>
    <i t="default">
      <x v="7"/>
    </i>
    <i>
      <x v="8"/>
      <x/>
      <x v="18"/>
      <x v="4"/>
    </i>
    <i r="1">
      <x v="1"/>
      <x v="16"/>
      <x v="4"/>
    </i>
    <i r="1">
      <x v="2"/>
      <x v="16"/>
      <x v="4"/>
    </i>
    <i r="1">
      <x v="3"/>
      <x v="16"/>
      <x v="4"/>
    </i>
    <i r="1">
      <x v="4"/>
      <x v="16"/>
      <x v="4"/>
    </i>
    <i r="1">
      <x v="5"/>
      <x v="16"/>
      <x v="4"/>
    </i>
    <i r="1">
      <x v="18"/>
      <x v="20"/>
      <x v="4"/>
    </i>
    <i r="1">
      <x v="19"/>
      <x v="20"/>
      <x v="4"/>
    </i>
    <i r="1">
      <x v="20"/>
      <x v="20"/>
      <x v="4"/>
    </i>
    <i r="1">
      <x v="21"/>
      <x v="16"/>
      <x v="4"/>
    </i>
    <i r="1">
      <x v="22"/>
      <x v="20"/>
      <x v="4"/>
    </i>
    <i t="default">
      <x v="8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 of Cost B/T" fld="2" baseField="0" baseItem="0"/>
    <dataField name="Sum of Inoviced B/T" fld="5" baseField="0" baseItem="0"/>
    <dataField name="Sum of VAT" fld="6" baseField="0" baseItem="0"/>
    <dataField name="Sum of WH" fld="7" baseField="0" baseItem="0"/>
    <dataField name="Sum of Total Invoiced" fld="8" baseField="0" baseItem="0"/>
    <dataField name="Sum of Paid" fld="9" baseField="0" baseItem="0"/>
    <dataField name="Sum of Balance" fld="10" baseField="0" baseItem="0"/>
  </dataFields>
  <formats count="77">
    <format dxfId="235">
      <pivotArea outline="0" fieldPosition="0"/>
    </format>
    <format dxfId="234">
      <pivotArea dataOnly="0" labelOnly="1" outline="0" fieldPosition="0">
        <references count="3">
          <reference field="0" count="1" selected="0">
            <x v="1"/>
          </reference>
          <reference field="1" count="1" selected="0">
            <x v="7"/>
          </reference>
          <reference field="3" count="1">
            <x v="12"/>
          </reference>
        </references>
      </pivotArea>
    </format>
    <format dxfId="233">
      <pivotArea dataOnly="0" labelOnly="1" outline="0" fieldPosition="0">
        <references count="3">
          <reference field="0" count="1" selected="0">
            <x v="1"/>
          </reference>
          <reference field="1" count="1" selected="0">
            <x v="8"/>
          </reference>
          <reference field="3" count="1">
            <x v="12"/>
          </reference>
        </references>
      </pivotArea>
    </format>
    <format dxfId="232">
      <pivotArea field="4" type="button" dataOnly="0" labelOnly="1" outline="0" axis="axisRow" fieldPosition="3"/>
    </format>
    <format dxfId="231">
      <pivotArea dataOnly="0" labelOnly="1" outline="0" fieldPosition="0">
        <references count="1">
          <reference field="0" count="1" defaultSubtotal="1">
            <x v="0"/>
          </reference>
        </references>
      </pivotArea>
    </format>
    <format dxfId="230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229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228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227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226">
      <pivotArea dataOnly="0" labelOnly="1" grandRow="1" outline="0" fieldPosition="0"/>
    </format>
    <format dxfId="225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0"/>
          </reference>
          <reference field="3" count="1" selected="0">
            <x v="10"/>
          </reference>
          <reference field="4" count="1">
            <x v="9"/>
          </reference>
        </references>
      </pivotArea>
    </format>
    <format dxfId="224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3" count="1" selected="0">
            <x v="11"/>
          </reference>
          <reference field="4" count="1">
            <x v="11"/>
          </reference>
        </references>
      </pivotArea>
    </format>
    <format dxfId="223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2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22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3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21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4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20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5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19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18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7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17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8"/>
          </reference>
          <reference field="3" count="1" selected="0">
            <x v="0"/>
          </reference>
          <reference field="4" count="1">
            <x v="11"/>
          </reference>
        </references>
      </pivotArea>
    </format>
    <format dxfId="216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0"/>
          </reference>
          <reference field="3" count="1" selected="0">
            <x v="4"/>
          </reference>
          <reference field="4" count="1">
            <x v="6"/>
          </reference>
        </references>
      </pivotArea>
    </format>
    <format dxfId="215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3" count="1" selected="0">
            <x v="7"/>
          </reference>
          <reference field="4" count="1">
            <x v="7"/>
          </reference>
        </references>
      </pivotArea>
    </format>
    <format dxfId="214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2"/>
          </reference>
          <reference field="3" count="1" selected="0">
            <x v="7"/>
          </reference>
          <reference field="4" count="1">
            <x v="12"/>
          </reference>
        </references>
      </pivotArea>
    </format>
    <format dxfId="213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3"/>
          </reference>
          <reference field="3" count="1" selected="0">
            <x v="8"/>
          </reference>
          <reference field="4" count="1">
            <x v="10"/>
          </reference>
        </references>
      </pivotArea>
    </format>
    <format dxfId="212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4"/>
          </reference>
          <reference field="3" count="1" selected="0">
            <x v="10"/>
          </reference>
          <reference field="4" count="1">
            <x v="10"/>
          </reference>
        </references>
      </pivotArea>
    </format>
    <format dxfId="211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5"/>
          </reference>
          <reference field="3" count="1" selected="0">
            <x v="10"/>
          </reference>
          <reference field="4" count="1">
            <x v="11"/>
          </reference>
        </references>
      </pivotArea>
    </format>
    <format dxfId="210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6"/>
          </reference>
          <reference field="3" count="1" selected="0">
            <x v="10"/>
          </reference>
          <reference field="4" count="1">
            <x v="11"/>
          </reference>
        </references>
      </pivotArea>
    </format>
    <format dxfId="209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7"/>
          </reference>
          <reference field="3" count="1" selected="0">
            <x v="12"/>
          </reference>
          <reference field="4" count="1">
            <x v="11"/>
          </reference>
        </references>
      </pivotArea>
    </format>
    <format dxfId="208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8"/>
          </reference>
          <reference field="3" count="1" selected="0">
            <x v="12"/>
          </reference>
          <reference field="4" count="1">
            <x v="11"/>
          </reference>
        </references>
      </pivotArea>
    </format>
    <format dxfId="207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3"/>
          </reference>
          <reference field="3" count="1" selected="0">
            <x v="15"/>
          </reference>
          <reference field="4" count="1">
            <x v="11"/>
          </reference>
        </references>
      </pivotArea>
    </format>
    <format dxfId="206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4"/>
          </reference>
          <reference field="3" count="1" selected="0">
            <x v="15"/>
          </reference>
          <reference field="4" count="1">
            <x v="11"/>
          </reference>
        </references>
      </pivotArea>
    </format>
    <format dxfId="20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3" count="1" selected="0">
            <x v="2"/>
          </reference>
          <reference field="4" count="1">
            <x v="0"/>
          </reference>
        </references>
      </pivotArea>
    </format>
    <format dxfId="204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3" count="1" selected="0">
            <x v="1"/>
          </reference>
          <reference field="4" count="1">
            <x v="1"/>
          </reference>
        </references>
      </pivotArea>
    </format>
    <format dxfId="203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3" count="1" selected="0">
            <x v="1"/>
          </reference>
          <reference field="4" count="1">
            <x v="2"/>
          </reference>
        </references>
      </pivotArea>
    </format>
    <format dxfId="20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3" count="1" selected="0">
            <x v="5"/>
          </reference>
          <reference field="4" count="1">
            <x v="3"/>
          </reference>
        </references>
      </pivotArea>
    </format>
    <format dxfId="20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20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9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9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9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1"/>
          </reference>
          <reference field="3" count="1" selected="0">
            <x v="14"/>
          </reference>
          <reference field="4" count="1">
            <x v="11"/>
          </reference>
        </references>
      </pivotArea>
    </format>
    <format dxfId="19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2"/>
          </reference>
          <reference field="3" count="1" selected="0">
            <x v="14"/>
          </reference>
          <reference field="4" count="1">
            <x v="11"/>
          </reference>
        </references>
      </pivotArea>
    </format>
    <format dxfId="19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3" count="1" selected="0">
            <x v="2"/>
          </reference>
          <reference field="4" count="1">
            <x v="5"/>
          </reference>
        </references>
      </pivotArea>
    </format>
    <format dxfId="19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3" count="1" selected="0">
            <x v="1"/>
          </reference>
          <reference field="4" count="1">
            <x v="1"/>
          </reference>
        </references>
      </pivotArea>
    </format>
    <format dxfId="19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3" count="1" selected="0">
            <x v="1"/>
          </reference>
          <reference field="4" count="1">
            <x v="2"/>
          </reference>
        </references>
      </pivotArea>
    </format>
    <format dxfId="19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3" count="1" selected="0">
            <x v="5"/>
          </reference>
          <reference field="4" count="1">
            <x v="3"/>
          </reference>
        </references>
      </pivotArea>
    </format>
    <format dxfId="19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9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8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8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3" count="1" selected="0">
            <x v="9"/>
          </reference>
          <reference field="4" count="1">
            <x v="11"/>
          </reference>
        </references>
      </pivotArea>
    </format>
    <format dxfId="187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3" count="1" selected="0">
            <x v="3"/>
          </reference>
          <reference field="4" count="1">
            <x v="8"/>
          </reference>
        </references>
      </pivotArea>
    </format>
    <format dxfId="18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9"/>
          </reference>
          <reference field="3" count="1" selected="0">
            <x v="6"/>
          </reference>
          <reference field="4" count="1">
            <x v="11"/>
          </reference>
        </references>
      </pivotArea>
    </format>
    <format dxfId="18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0"/>
          </reference>
          <reference field="3" count="1" selected="0">
            <x v="13"/>
          </reference>
          <reference field="4" count="1">
            <x v="11"/>
          </reference>
        </references>
      </pivotArea>
    </format>
    <format dxfId="184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0"/>
          </reference>
          <reference field="3" count="1">
            <x v="13"/>
          </reference>
        </references>
      </pivotArea>
    </format>
    <format dxfId="183">
      <pivotArea outline="0" fieldPosition="0">
        <references count="4">
          <reference field="0" count="1" selected="0">
            <x v="6"/>
          </reference>
          <reference field="1" count="1" selected="0">
            <x v="17"/>
          </reference>
          <reference field="3" count="1" selected="0">
            <x v="17"/>
          </reference>
          <reference field="4" count="1" selected="0">
            <x v="14"/>
          </reference>
        </references>
      </pivotArea>
    </format>
    <format dxfId="182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7"/>
          </reference>
          <reference field="3" count="1">
            <x v="17"/>
          </reference>
        </references>
      </pivotArea>
    </format>
    <format dxfId="18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7"/>
          </reference>
          <reference field="3" count="1" selected="0">
            <x v="17"/>
          </reference>
          <reference field="4" count="1">
            <x v="14"/>
          </reference>
        </references>
      </pivotArea>
    </format>
    <format dxfId="180">
      <pivotArea outline="0" fieldPosition="0">
        <references count="2">
          <reference field="0" count="1" selected="0">
            <x v="7"/>
          </reference>
          <reference field="1" count="2" selected="0">
            <x v="0"/>
            <x v="1"/>
          </reference>
        </references>
      </pivotArea>
    </format>
    <format dxfId="179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0"/>
          </reference>
          <reference field="3" count="1">
            <x v="18"/>
          </reference>
        </references>
      </pivotArea>
    </format>
    <format dxfId="178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0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77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76">
      <pivotArea outline="0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3" count="1" selected="0">
            <x v="18"/>
          </reference>
          <reference field="4" count="1" selected="0">
            <x v="4"/>
          </reference>
        </references>
      </pivotArea>
    </format>
    <format dxfId="175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3" count="1">
            <x v="18"/>
          </reference>
        </references>
      </pivotArea>
    </format>
    <format dxfId="174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73">
      <pivotArea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1" count="11" selected="0">
            <x v="0"/>
            <x v="1"/>
            <x v="2"/>
            <x v="3"/>
            <x v="4"/>
            <x v="5"/>
            <x v="6"/>
            <x v="7"/>
            <x v="8"/>
            <x v="13"/>
            <x v="14"/>
          </reference>
        </references>
      </pivotArea>
    </format>
    <format dxfId="172">
      <pivotArea dataOnly="0" outline="0" fieldPosition="0">
        <references count="3">
          <reference field="1" count="1" selected="0">
            <x v="17"/>
          </reference>
          <reference field="3" count="1">
            <x v="17"/>
          </reference>
          <reference field="4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171">
      <pivotArea outline="0" fieldPosition="0">
        <references count="2">
          <reference field="0" count="1" selected="0">
            <x v="7"/>
          </reference>
          <reference field="1" count="2" selected="0">
            <x v="0"/>
            <x v="1"/>
          </reference>
        </references>
      </pivotArea>
    </format>
    <format dxfId="170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0"/>
          </reference>
          <reference field="3" count="1">
            <x v="18"/>
          </reference>
        </references>
      </pivotArea>
    </format>
    <format dxfId="169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0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68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67">
      <pivotArea outline="0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3" count="1" selected="0">
            <x v="18"/>
          </reference>
          <reference field="4" count="1" selected="0">
            <x v="4"/>
          </reference>
        </references>
      </pivotArea>
    </format>
    <format dxfId="166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3" count="1">
            <x v="18"/>
          </reference>
        </references>
      </pivotArea>
    </format>
    <format dxfId="165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3" count="1" selected="0">
            <x v="18"/>
          </reference>
          <reference field="4" count="1">
            <x v="4"/>
          </reference>
        </references>
      </pivotArea>
    </format>
    <format dxfId="164">
      <pivotArea dataOnly="0" outline="0" fieldPosition="0">
        <references count="1">
          <reference field="3" count="1">
            <x v="20"/>
          </reference>
        </references>
      </pivotArea>
    </format>
    <format dxfId="163">
      <pivotArea outline="0" fieldPosition="0">
        <references count="3">
          <reference field="0" count="1" selected="0">
            <x v="6"/>
          </reference>
          <reference field="1" count="1" selected="0">
            <x v="17"/>
          </reference>
          <reference field="3" count="2" selected="0">
            <x v="17"/>
            <x v="19"/>
          </reference>
        </references>
      </pivotArea>
    </format>
    <format dxfId="162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7"/>
          </reference>
          <reference field="3" count="2">
            <x v="17"/>
            <x v="19"/>
          </reference>
        </references>
      </pivotArea>
    </format>
    <format dxfId="16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7"/>
          </reference>
          <reference field="3" count="1" selected="0">
            <x v="17"/>
          </reference>
          <reference field="4" count="1">
            <x v="14"/>
          </reference>
        </references>
      </pivotArea>
    </format>
    <format dxfId="16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7"/>
          </reference>
          <reference field="3" count="1" selected="0">
            <x v="19"/>
          </reference>
          <reference field="4" count="1">
            <x v="14"/>
          </reference>
        </references>
      </pivotArea>
    </format>
    <format dxfId="159">
      <pivotArea dataOnly="0" outline="0" fieldPosition="0">
        <references count="2">
          <reference field="3" count="1">
            <x v="20"/>
          </reference>
          <reference field="4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</formats>
  <pivotTableStyleInfo name="PivotStyleMedium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B3:K34" firstHeaderRow="1" firstDataRow="2" firstDataCol="6"/>
  <pivotFields count="10">
    <pivotField axis="axisRow" compact="0" outline="0" subtotalTop="0" showAll="0" includeNewItemsInFilter="1" sortType="ascending">
      <items count="5">
        <item x="2"/>
        <item x="3"/>
        <item x="1"/>
        <item x="0"/>
        <item t="default"/>
      </items>
    </pivotField>
    <pivotField axis="axisRow" compact="0" outline="0" subtotalTop="0" showAll="0" includeNewItemsInFilter="1" sortType="ascending" defaultSubtotal="0">
      <items count="23">
        <item x="18"/>
        <item x="19"/>
        <item x="20"/>
        <item x="21"/>
        <item x="22"/>
        <item x="1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outline="0" subtotalTop="0" showAll="0" includeNewItemsInFilter="1" defaultSubtotal="0">
      <items count="2">
        <item x="0"/>
        <item x="1"/>
      </items>
    </pivotField>
    <pivotField axis="axisRow" compact="0" outline="0" subtotalTop="0" showAll="0" includeNewItemsInFilter="1" defaultSubtotal="0">
      <items count="25">
        <item x="18"/>
        <item x="11"/>
        <item x="13"/>
        <item x="9"/>
        <item x="0"/>
        <item x="2"/>
        <item x="4"/>
        <item x="5"/>
        <item x="3"/>
        <item x="6"/>
        <item x="1"/>
        <item x="7"/>
        <item x="8"/>
        <item x="12"/>
        <item x="14"/>
        <item x="15"/>
        <item x="16"/>
        <item x="17"/>
        <item x="10"/>
        <item x="19"/>
        <item x="20"/>
        <item x="21"/>
        <item x="22"/>
        <item x="23"/>
        <item x="24"/>
      </items>
    </pivotField>
    <pivotField axis="axisRow" compact="0" numFmtId="14" outline="0" subtotalTop="0" showAll="0" includeNewItemsInFilter="1" defaultSubtotal="0">
      <items count="6">
        <item x="2"/>
        <item x="0"/>
        <item x="1"/>
        <item x="3"/>
        <item x="4"/>
        <item x="5"/>
      </items>
    </pivotField>
    <pivotField axis="axisRow" compact="0" outline="0" subtotalTop="0" showAll="0" includeNewItemsInFilter="1" defaultSubtotal="0">
      <items count="23">
        <item x="11"/>
        <item x="9"/>
        <item x="16"/>
        <item x="10"/>
        <item x="8"/>
        <item x="12"/>
        <item x="13"/>
        <item x="14"/>
        <item x="15"/>
        <item x="0"/>
        <item x="1"/>
        <item x="2"/>
        <item x="3"/>
        <item x="4"/>
        <item x="5"/>
        <item x="6"/>
        <item x="7"/>
        <item x="17"/>
        <item x="18"/>
        <item x="19"/>
        <item x="20"/>
        <item x="21"/>
        <item x="22"/>
      </items>
    </pivotField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/>
  </pivotFields>
  <rowFields count="6">
    <field x="0"/>
    <field x="1"/>
    <field x="2"/>
    <field x="3"/>
    <field x="4"/>
    <field x="5"/>
  </rowFields>
  <rowItems count="30">
    <i>
      <x/>
      <x v="5"/>
      <x/>
      <x v="19"/>
      <x v="3"/>
      <x v="17"/>
    </i>
    <i t="default">
      <x/>
    </i>
    <i>
      <x v="1"/>
      <x/>
      <x v="1"/>
      <x v="20"/>
      <x v="4"/>
      <x v="18"/>
    </i>
    <i r="1">
      <x v="1"/>
      <x v="1"/>
      <x v="21"/>
      <x v="4"/>
      <x v="19"/>
    </i>
    <i r="1">
      <x v="2"/>
      <x v="1"/>
      <x v="22"/>
      <x v="4"/>
      <x v="20"/>
    </i>
    <i r="1">
      <x v="3"/>
      <x v="1"/>
      <x v="23"/>
      <x v="5"/>
      <x v="21"/>
    </i>
    <i r="1">
      <x v="4"/>
      <x v="1"/>
      <x v="24"/>
      <x v="4"/>
      <x v="22"/>
    </i>
    <i t="default">
      <x v="1"/>
    </i>
    <i>
      <x v="2"/>
      <x v="17"/>
      <x/>
      <x v="13"/>
      <x v="1"/>
      <x/>
    </i>
    <i r="2">
      <x v="1"/>
      <x v="2"/>
      <x/>
      <x/>
    </i>
    <i r="1">
      <x v="18"/>
      <x/>
      <x v="14"/>
      <x v="1"/>
      <x v="5"/>
    </i>
    <i r="1">
      <x v="19"/>
      <x/>
      <x v="15"/>
      <x v="1"/>
      <x v="6"/>
    </i>
    <i r="1">
      <x v="20"/>
      <x/>
      <x v="16"/>
      <x v="1"/>
      <x v="7"/>
    </i>
    <i r="1">
      <x v="21"/>
      <x/>
      <x v="17"/>
      <x v="1"/>
      <x v="8"/>
    </i>
    <i r="1">
      <x v="22"/>
      <x v="1"/>
      <x/>
      <x/>
      <x v="2"/>
    </i>
    <i t="default">
      <x v="2"/>
    </i>
    <i>
      <x v="3"/>
      <x v="6"/>
      <x/>
      <x v="4"/>
      <x v="1"/>
      <x v="9"/>
    </i>
    <i r="1">
      <x v="7"/>
      <x/>
      <x v="10"/>
      <x v="2"/>
      <x v="10"/>
    </i>
    <i r="1">
      <x v="8"/>
      <x/>
      <x v="5"/>
      <x v="1"/>
      <x v="11"/>
    </i>
    <i r="1">
      <x v="9"/>
      <x/>
      <x v="8"/>
      <x v="1"/>
      <x v="12"/>
    </i>
    <i r="1">
      <x v="10"/>
      <x/>
      <x v="6"/>
      <x v="1"/>
      <x v="13"/>
    </i>
    <i r="1">
      <x v="11"/>
      <x/>
      <x v="7"/>
      <x v="2"/>
      <x v="14"/>
    </i>
    <i r="1">
      <x v="12"/>
      <x/>
      <x v="9"/>
      <x v="2"/>
      <x v="15"/>
    </i>
    <i r="1">
      <x v="13"/>
      <x/>
      <x v="11"/>
      <x v="2"/>
      <x v="16"/>
    </i>
    <i r="1">
      <x v="14"/>
      <x/>
      <x v="12"/>
      <x v="1"/>
      <x v="4"/>
    </i>
    <i r="1">
      <x v="15"/>
      <x/>
      <x v="18"/>
      <x v="1"/>
      <x v="1"/>
    </i>
    <i r="2">
      <x v="1"/>
      <x v="3"/>
      <x/>
      <x v="1"/>
    </i>
    <i r="1">
      <x v="16"/>
      <x v="1"/>
      <x v="1"/>
      <x/>
      <x v="3"/>
    </i>
    <i t="default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VEF B/T" fld="6" baseField="0" baseItem="0"/>
    <dataField name="Sum of VAT VEF" fld="7" baseField="0" baseItem="0"/>
    <dataField name="Sum of Total VEF" fld="8" baseField="0" baseItem="0"/>
    <dataField name="Sum of USD" fld="9" baseField="0" baseItem="0"/>
  </dataFields>
  <formats count="5">
    <format dxfId="158">
      <pivotArea outline="0" fieldPosition="0"/>
    </format>
    <format dxfId="157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156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155">
      <pivotArea outline="0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3" count="1" selected="0">
            <x v="19"/>
          </reference>
          <reference field="4" count="1" selected="0">
            <x v="3"/>
          </reference>
          <reference field="5" count="1" selected="0">
            <x v="17"/>
          </reference>
        </references>
      </pivotArea>
    </format>
    <format dxfId="154">
      <pivotArea outline="0" fieldPosition="0">
        <references count="7">
          <reference field="4294967294" count="2" selected="0">
            <x v="2"/>
            <x v="3"/>
          </reference>
          <reference field="0" count="1" selected="0">
            <x v="0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9"/>
          </reference>
          <reference field="4" count="1" selected="0">
            <x v="3"/>
          </reference>
          <reference field="5" count="1" selected="0">
            <x v="17"/>
          </reference>
        </references>
      </pivotArea>
    </format>
  </formats>
  <pivotTableStyleInfo name="PivotStyleMedium8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1"/>
  <sheetViews>
    <sheetView topLeftCell="F7" workbookViewId="0">
      <selection activeCell="L87" sqref="L87"/>
    </sheetView>
  </sheetViews>
  <sheetFormatPr defaultRowHeight="15" x14ac:dyDescent="0.25"/>
  <cols>
    <col min="1" max="1" width="2.5703125" customWidth="1"/>
    <col min="2" max="2" width="12" customWidth="1"/>
    <col min="3" max="3" width="41.42578125" customWidth="1"/>
    <col min="4" max="4" width="7.140625" bestFit="1" customWidth="1"/>
    <col min="5" max="5" width="17.28515625" customWidth="1"/>
    <col min="6" max="6" width="22" bestFit="1" customWidth="1"/>
    <col min="7" max="8" width="22" customWidth="1"/>
    <col min="9" max="9" width="9.28515625" style="60" bestFit="1" customWidth="1"/>
    <col min="10" max="10" width="15.85546875" bestFit="1" customWidth="1"/>
    <col min="11" max="11" width="15.85546875" style="2" bestFit="1" customWidth="1"/>
    <col min="12" max="12" width="22" bestFit="1" customWidth="1"/>
    <col min="13" max="13" width="16.140625" bestFit="1" customWidth="1"/>
    <col min="14" max="14" width="30.5703125" style="21" customWidth="1"/>
  </cols>
  <sheetData>
    <row r="1" spans="2:14" x14ac:dyDescent="0.25">
      <c r="B1" s="1" t="s">
        <v>71</v>
      </c>
      <c r="C1" s="1"/>
    </row>
    <row r="2" spans="2:14" x14ac:dyDescent="0.25">
      <c r="B2" s="1" t="s">
        <v>72</v>
      </c>
      <c r="C2" s="1" t="s">
        <v>2</v>
      </c>
    </row>
    <row r="3" spans="2:14" x14ac:dyDescent="0.25">
      <c r="B3" t="s">
        <v>3</v>
      </c>
      <c r="C3" t="s">
        <v>4</v>
      </c>
    </row>
    <row r="4" spans="2:14" x14ac:dyDescent="0.25">
      <c r="C4" t="s">
        <v>5</v>
      </c>
    </row>
    <row r="5" spans="2:14" x14ac:dyDescent="0.25">
      <c r="C5" t="s">
        <v>6</v>
      </c>
    </row>
    <row r="6" spans="2:14" x14ac:dyDescent="0.25">
      <c r="C6" t="s">
        <v>7</v>
      </c>
    </row>
    <row r="7" spans="2:14" x14ac:dyDescent="0.25">
      <c r="C7" t="s">
        <v>8</v>
      </c>
    </row>
    <row r="11" spans="2:14" x14ac:dyDescent="0.25">
      <c r="B11" s="1"/>
      <c r="C11" s="3" t="s">
        <v>9</v>
      </c>
      <c r="D11" s="18"/>
      <c r="E11" s="3" t="s">
        <v>42</v>
      </c>
      <c r="F11" s="37">
        <v>10218950</v>
      </c>
      <c r="L11" s="37"/>
    </row>
    <row r="12" spans="2:14" x14ac:dyDescent="0.25">
      <c r="B12" s="1"/>
      <c r="C12" s="3"/>
      <c r="D12" s="18"/>
      <c r="E12" s="3"/>
      <c r="F12" s="17"/>
      <c r="L12" s="17"/>
    </row>
    <row r="13" spans="2:14" ht="15.75" thickBot="1" x14ac:dyDescent="0.3">
      <c r="B13" s="1"/>
      <c r="C13" s="3"/>
      <c r="D13" s="18"/>
      <c r="E13" s="3"/>
      <c r="F13" s="56" t="s">
        <v>208</v>
      </c>
      <c r="G13" s="56" t="s">
        <v>207</v>
      </c>
      <c r="L13" s="17"/>
    </row>
    <row r="14" spans="2:14" x14ac:dyDescent="0.25">
      <c r="B14" s="43"/>
      <c r="C14" s="44" t="s">
        <v>12</v>
      </c>
      <c r="D14" s="6" t="s">
        <v>13</v>
      </c>
      <c r="E14" s="6" t="s">
        <v>42</v>
      </c>
      <c r="F14" s="23">
        <v>10218950</v>
      </c>
      <c r="G14" s="24">
        <v>11268150</v>
      </c>
      <c r="H14" s="24" t="s">
        <v>209</v>
      </c>
      <c r="I14" s="61" t="s">
        <v>10</v>
      </c>
      <c r="J14" s="5" t="s">
        <v>10</v>
      </c>
      <c r="K14" s="41"/>
      <c r="L14" s="23" t="s">
        <v>11</v>
      </c>
      <c r="M14" s="82" t="s">
        <v>204</v>
      </c>
      <c r="N14" s="83" t="s">
        <v>205</v>
      </c>
    </row>
    <row r="15" spans="2:14" ht="15.75" thickBot="1" x14ac:dyDescent="0.3">
      <c r="B15" s="45" t="s">
        <v>43</v>
      </c>
      <c r="C15" s="46" t="s">
        <v>18</v>
      </c>
      <c r="D15" s="27"/>
      <c r="E15" s="47" t="s">
        <v>14</v>
      </c>
      <c r="F15" s="10" t="s">
        <v>15</v>
      </c>
      <c r="G15" s="29" t="s">
        <v>15</v>
      </c>
      <c r="H15" s="29" t="s">
        <v>210</v>
      </c>
      <c r="I15" s="62" t="s">
        <v>73</v>
      </c>
      <c r="J15" s="11" t="s">
        <v>17</v>
      </c>
      <c r="K15" s="42" t="s">
        <v>131</v>
      </c>
      <c r="L15" s="10" t="s">
        <v>14</v>
      </c>
      <c r="M15" s="9"/>
      <c r="N15" s="84"/>
    </row>
    <row r="16" spans="2:14" x14ac:dyDescent="0.25">
      <c r="B16" s="1" t="s">
        <v>19</v>
      </c>
      <c r="C16" s="15"/>
      <c r="D16" s="16">
        <v>0.1</v>
      </c>
      <c r="E16" s="32">
        <f>+$F$11*D16</f>
        <v>1021895</v>
      </c>
      <c r="F16" s="33">
        <f>+E16</f>
        <v>1021895</v>
      </c>
      <c r="G16" s="33">
        <v>1126815</v>
      </c>
      <c r="H16" s="33">
        <f>F16+G16</f>
        <v>2148710</v>
      </c>
      <c r="I16" s="60">
        <v>42</v>
      </c>
      <c r="J16" s="2">
        <v>40015</v>
      </c>
      <c r="K16" s="2" t="s">
        <v>132</v>
      </c>
      <c r="L16" s="33">
        <v>2148710</v>
      </c>
      <c r="M16" s="58">
        <f>H16-L16</f>
        <v>0</v>
      </c>
    </row>
    <row r="17" spans="2:14" x14ac:dyDescent="0.25">
      <c r="B17" s="1"/>
      <c r="C17" s="15"/>
      <c r="D17" s="16"/>
      <c r="E17" s="70" t="s">
        <v>201</v>
      </c>
      <c r="F17" s="34">
        <f>F16*12%</f>
        <v>122627.4</v>
      </c>
      <c r="G17" s="34">
        <f>G16*12%</f>
        <v>135217.79999999999</v>
      </c>
      <c r="H17" s="34">
        <f>F17+G17</f>
        <v>257845.19999999998</v>
      </c>
      <c r="J17" s="2"/>
      <c r="L17" s="34">
        <f>L16*12%</f>
        <v>257845.19999999998</v>
      </c>
      <c r="M17" s="58">
        <f>H17-L17</f>
        <v>0</v>
      </c>
    </row>
    <row r="18" spans="2:14" x14ac:dyDescent="0.25">
      <c r="B18" s="1"/>
      <c r="C18" s="15"/>
      <c r="D18" s="16"/>
      <c r="E18" s="70" t="s">
        <v>202</v>
      </c>
      <c r="F18" s="72">
        <f>-F16*4.5%</f>
        <v>-45985.275000000001</v>
      </c>
      <c r="G18" s="72">
        <f>-G16*4.5%</f>
        <v>-50706.674999999996</v>
      </c>
      <c r="H18" s="72">
        <f>F18+G18</f>
        <v>-96691.95</v>
      </c>
      <c r="J18" s="2"/>
      <c r="L18" s="72">
        <v>0</v>
      </c>
      <c r="M18" s="58">
        <f>H18-L18</f>
        <v>-96691.95</v>
      </c>
      <c r="N18" s="21" t="s">
        <v>212</v>
      </c>
    </row>
    <row r="19" spans="2:14" ht="14.25" customHeight="1" x14ac:dyDescent="0.25">
      <c r="B19" s="1"/>
      <c r="C19" s="15"/>
      <c r="D19" s="16"/>
      <c r="E19" s="70" t="s">
        <v>41</v>
      </c>
      <c r="F19" s="34">
        <f>SUM(F16:F18)</f>
        <v>1098537.125</v>
      </c>
      <c r="G19" s="34">
        <v>1211326.125</v>
      </c>
      <c r="H19" s="34">
        <f>F19+G19</f>
        <v>2309863.25</v>
      </c>
      <c r="J19" s="2"/>
      <c r="L19" s="34">
        <f>SUM(L16:L18)</f>
        <v>2406555.2000000002</v>
      </c>
      <c r="M19" s="58">
        <f>H19-L19</f>
        <v>-96691.950000000186</v>
      </c>
    </row>
    <row r="20" spans="2:14" x14ac:dyDescent="0.25">
      <c r="B20" s="1" t="s">
        <v>20</v>
      </c>
      <c r="C20" s="15" t="s">
        <v>21</v>
      </c>
      <c r="D20" s="16"/>
      <c r="E20" s="14"/>
      <c r="F20" s="48"/>
      <c r="G20" s="36"/>
      <c r="H20" s="36"/>
      <c r="L20" s="48"/>
    </row>
    <row r="21" spans="2:14" x14ac:dyDescent="0.25">
      <c r="C21" t="s">
        <v>44</v>
      </c>
      <c r="D21" s="16">
        <v>0.05</v>
      </c>
      <c r="E21" s="32">
        <f t="shared" ref="E21:E27" si="0">+$F$11*D21</f>
        <v>510947.5</v>
      </c>
      <c r="F21" s="36"/>
      <c r="G21" s="36"/>
      <c r="H21" s="36"/>
      <c r="I21" s="64" t="s">
        <v>136</v>
      </c>
      <c r="J21" s="2" t="s">
        <v>151</v>
      </c>
      <c r="K21" s="59">
        <v>40111</v>
      </c>
      <c r="L21" s="36"/>
      <c r="N21" s="85"/>
    </row>
    <row r="22" spans="2:14" x14ac:dyDescent="0.25">
      <c r="C22" t="s">
        <v>45</v>
      </c>
      <c r="D22" s="16">
        <v>0.05</v>
      </c>
      <c r="E22" s="32">
        <f t="shared" si="0"/>
        <v>510947.5</v>
      </c>
      <c r="F22" s="36"/>
      <c r="G22" s="36"/>
      <c r="H22" s="36"/>
      <c r="I22" s="64" t="s">
        <v>138</v>
      </c>
      <c r="J22" s="2" t="s">
        <v>151</v>
      </c>
      <c r="K22" s="59">
        <v>40111</v>
      </c>
      <c r="L22" s="36"/>
      <c r="N22" s="85"/>
    </row>
    <row r="23" spans="2:14" x14ac:dyDescent="0.25">
      <c r="C23" t="s">
        <v>46</v>
      </c>
      <c r="D23" s="16">
        <v>0.03</v>
      </c>
      <c r="E23" s="32">
        <f t="shared" si="0"/>
        <v>306568.5</v>
      </c>
      <c r="F23" s="36"/>
      <c r="G23" s="36"/>
      <c r="H23" s="36"/>
      <c r="I23" s="64" t="s">
        <v>140</v>
      </c>
      <c r="J23" s="2" t="s">
        <v>151</v>
      </c>
      <c r="K23" s="59">
        <v>40111</v>
      </c>
      <c r="L23" s="36"/>
      <c r="N23" s="85"/>
    </row>
    <row r="24" spans="2:14" x14ac:dyDescent="0.25">
      <c r="C24" t="s">
        <v>47</v>
      </c>
      <c r="D24" s="16">
        <v>0.02</v>
      </c>
      <c r="E24" s="32">
        <f t="shared" si="0"/>
        <v>204379</v>
      </c>
      <c r="F24" s="36"/>
      <c r="G24" s="36"/>
      <c r="H24" s="36"/>
      <c r="I24" s="64" t="s">
        <v>142</v>
      </c>
      <c r="J24" s="2" t="s">
        <v>151</v>
      </c>
      <c r="K24" s="59">
        <v>40111</v>
      </c>
      <c r="L24" s="36"/>
      <c r="N24" s="85"/>
    </row>
    <row r="25" spans="2:14" x14ac:dyDescent="0.25">
      <c r="C25" t="s">
        <v>48</v>
      </c>
      <c r="D25" s="16">
        <v>0.02</v>
      </c>
      <c r="E25" s="32">
        <f t="shared" si="0"/>
        <v>204379</v>
      </c>
      <c r="F25" s="36"/>
      <c r="G25" s="36"/>
      <c r="H25" s="36"/>
      <c r="I25" s="64" t="s">
        <v>144</v>
      </c>
      <c r="J25" s="2" t="s">
        <v>151</v>
      </c>
      <c r="K25" s="59">
        <v>40111</v>
      </c>
      <c r="L25" s="36"/>
      <c r="N25" s="85"/>
    </row>
    <row r="26" spans="2:14" ht="30" x14ac:dyDescent="0.25">
      <c r="C26" s="21" t="s">
        <v>49</v>
      </c>
      <c r="D26" s="16">
        <v>0.03</v>
      </c>
      <c r="E26" s="32">
        <f t="shared" si="0"/>
        <v>306568.5</v>
      </c>
      <c r="F26" s="36"/>
      <c r="G26" s="36"/>
      <c r="H26" s="36"/>
      <c r="I26" s="64" t="s">
        <v>146</v>
      </c>
      <c r="J26" s="2" t="s">
        <v>151</v>
      </c>
      <c r="K26" s="59">
        <v>40111</v>
      </c>
      <c r="L26" s="36"/>
      <c r="M26" s="88"/>
      <c r="N26" s="85"/>
    </row>
    <row r="27" spans="2:14" x14ac:dyDescent="0.25">
      <c r="C27" s="21" t="s">
        <v>50</v>
      </c>
      <c r="D27" s="16">
        <v>0.05</v>
      </c>
      <c r="E27" s="32">
        <f t="shared" si="0"/>
        <v>510947.5</v>
      </c>
      <c r="F27" s="36"/>
      <c r="G27" s="36"/>
      <c r="H27" s="36"/>
      <c r="I27" s="64" t="s">
        <v>148</v>
      </c>
      <c r="J27" s="2" t="s">
        <v>151</v>
      </c>
      <c r="K27" s="59">
        <v>40111</v>
      </c>
      <c r="L27" s="36"/>
      <c r="N27" s="85"/>
    </row>
    <row r="28" spans="2:14" x14ac:dyDescent="0.25">
      <c r="C28" s="1" t="s">
        <v>22</v>
      </c>
      <c r="D28" s="16"/>
      <c r="E28" s="70" t="s">
        <v>203</v>
      </c>
      <c r="F28" s="33">
        <f>SUM(E21:E27)</f>
        <v>2554737.5</v>
      </c>
      <c r="G28" s="33">
        <v>2817037.5</v>
      </c>
      <c r="H28" s="33">
        <f>F28+G28</f>
        <v>5371775</v>
      </c>
      <c r="J28" s="35"/>
      <c r="L28" s="33">
        <f>H28</f>
        <v>5371775</v>
      </c>
      <c r="M28" s="58">
        <f>H28-L28</f>
        <v>0</v>
      </c>
      <c r="N28" s="86"/>
    </row>
    <row r="29" spans="2:14" x14ac:dyDescent="0.25">
      <c r="C29" s="1"/>
      <c r="D29" s="16"/>
      <c r="E29" s="70" t="s">
        <v>201</v>
      </c>
      <c r="F29" s="34">
        <f>F28*12%</f>
        <v>306568.5</v>
      </c>
      <c r="G29" s="34">
        <f>G28*12%</f>
        <v>338044.5</v>
      </c>
      <c r="H29" s="34">
        <f>F29+G29</f>
        <v>644613</v>
      </c>
      <c r="J29" s="35"/>
      <c r="L29" s="34">
        <f>H29</f>
        <v>644613</v>
      </c>
      <c r="M29" s="58">
        <f>H29-L29</f>
        <v>0</v>
      </c>
      <c r="N29" s="86"/>
    </row>
    <row r="30" spans="2:14" ht="30" x14ac:dyDescent="0.25">
      <c r="C30" s="1"/>
      <c r="D30" s="16"/>
      <c r="E30" s="70" t="s">
        <v>202</v>
      </c>
      <c r="F30" s="72">
        <f>-F28*4.5%</f>
        <v>-114963.1875</v>
      </c>
      <c r="G30" s="72">
        <f>-G28*4.5%</f>
        <v>-126766.6875</v>
      </c>
      <c r="H30" s="72">
        <f>F30+G30</f>
        <v>-241729.875</v>
      </c>
      <c r="J30" s="35"/>
      <c r="L30" s="72">
        <f>H30-96691.95</f>
        <v>-338421.82500000001</v>
      </c>
      <c r="M30" s="58">
        <f>H30-L30</f>
        <v>96691.950000000012</v>
      </c>
      <c r="N30" s="86" t="s">
        <v>213</v>
      </c>
    </row>
    <row r="31" spans="2:14" x14ac:dyDescent="0.25">
      <c r="C31" s="1"/>
      <c r="D31" s="16"/>
      <c r="E31" s="70" t="s">
        <v>41</v>
      </c>
      <c r="F31" s="34">
        <f>SUM(F28:F30)</f>
        <v>2746342.8125</v>
      </c>
      <c r="G31" s="34">
        <f>SUM(G28:G30)</f>
        <v>3028315.3125</v>
      </c>
      <c r="H31" s="34">
        <f>F31+G31</f>
        <v>5774658.125</v>
      </c>
      <c r="J31" s="35"/>
      <c r="L31" s="34">
        <f>SUM(L28:L30)</f>
        <v>5677966.1749999998</v>
      </c>
      <c r="M31" s="58">
        <f>H31-L31</f>
        <v>96691.950000000186</v>
      </c>
      <c r="N31" s="86"/>
    </row>
    <row r="32" spans="2:14" x14ac:dyDescent="0.25">
      <c r="B32" s="1" t="s">
        <v>23</v>
      </c>
      <c r="C32" s="15" t="s">
        <v>24</v>
      </c>
      <c r="D32" s="15"/>
      <c r="E32" s="37"/>
      <c r="F32" s="34"/>
      <c r="G32" s="34"/>
      <c r="H32" s="34"/>
      <c r="J32" s="35"/>
      <c r="L32" s="34"/>
      <c r="N32" s="85"/>
    </row>
    <row r="33" spans="2:14" x14ac:dyDescent="0.25">
      <c r="B33" s="1"/>
      <c r="C33" s="16" t="s">
        <v>51</v>
      </c>
      <c r="D33" s="16">
        <v>0.06</v>
      </c>
      <c r="E33" s="32">
        <f>+$F$11*D33</f>
        <v>613137</v>
      </c>
      <c r="F33" s="34"/>
      <c r="G33" s="34"/>
      <c r="H33" s="34"/>
      <c r="I33" s="64" t="s">
        <v>152</v>
      </c>
      <c r="J33" s="2" t="s">
        <v>151</v>
      </c>
      <c r="K33" s="2">
        <v>40217</v>
      </c>
      <c r="L33" s="34"/>
      <c r="N33" s="85"/>
    </row>
    <row r="34" spans="2:14" x14ac:dyDescent="0.25">
      <c r="B34" s="1"/>
      <c r="C34" s="16" t="s">
        <v>52</v>
      </c>
      <c r="D34" s="16">
        <v>0.02</v>
      </c>
      <c r="E34" s="32">
        <f>+$F$11*D34</f>
        <v>204379</v>
      </c>
      <c r="F34" s="34"/>
      <c r="G34" s="34"/>
      <c r="H34" s="34"/>
      <c r="I34" s="64" t="s">
        <v>154</v>
      </c>
      <c r="J34" s="2" t="s">
        <v>151</v>
      </c>
      <c r="K34" s="2">
        <v>40217</v>
      </c>
      <c r="L34" s="34"/>
      <c r="N34" s="85"/>
    </row>
    <row r="35" spans="2:14" x14ac:dyDescent="0.25">
      <c r="B35" s="1"/>
      <c r="C35" s="16" t="s">
        <v>53</v>
      </c>
      <c r="D35" s="16">
        <v>0.02</v>
      </c>
      <c r="E35" s="32">
        <f>+$F$11*D35</f>
        <v>204379</v>
      </c>
      <c r="F35" s="34"/>
      <c r="G35" s="34"/>
      <c r="H35" s="34"/>
      <c r="I35" s="64" t="s">
        <v>156</v>
      </c>
      <c r="J35" s="2" t="s">
        <v>151</v>
      </c>
      <c r="K35" s="2">
        <v>40217</v>
      </c>
      <c r="L35" s="34"/>
      <c r="N35" s="85"/>
    </row>
    <row r="36" spans="2:14" ht="30" x14ac:dyDescent="0.25">
      <c r="B36" s="1"/>
      <c r="C36" s="15" t="s">
        <v>25</v>
      </c>
      <c r="D36" s="16"/>
      <c r="E36" s="32"/>
      <c r="F36" s="33">
        <f>SUM(E33:E35)</f>
        <v>1021895</v>
      </c>
      <c r="G36" s="33">
        <v>1126815</v>
      </c>
      <c r="H36" s="33">
        <f>F36+G36</f>
        <v>2148710</v>
      </c>
      <c r="J36" s="35"/>
      <c r="L36" s="33">
        <f>H36/2</f>
        <v>1074355</v>
      </c>
      <c r="M36" s="58">
        <f>H36-L36</f>
        <v>1074355</v>
      </c>
      <c r="N36" s="85" t="s">
        <v>214</v>
      </c>
    </row>
    <row r="37" spans="2:14" x14ac:dyDescent="0.25">
      <c r="B37" s="1"/>
      <c r="C37" s="15"/>
      <c r="D37" s="16"/>
      <c r="E37" s="70" t="s">
        <v>201</v>
      </c>
      <c r="F37" s="34">
        <f>F36*12%</f>
        <v>122627.4</v>
      </c>
      <c r="G37" s="34">
        <f>G36*12%</f>
        <v>135217.79999999999</v>
      </c>
      <c r="H37" s="34">
        <f>F37+G37</f>
        <v>257845.19999999998</v>
      </c>
      <c r="J37" s="35"/>
      <c r="L37" s="34">
        <f>L36*12%</f>
        <v>128922.59999999999</v>
      </c>
      <c r="M37" s="58">
        <f>H37-L37</f>
        <v>128922.59999999999</v>
      </c>
      <c r="N37" s="85"/>
    </row>
    <row r="38" spans="2:14" x14ac:dyDescent="0.25">
      <c r="B38" s="1"/>
      <c r="C38" s="15"/>
      <c r="D38" s="16"/>
      <c r="E38" s="70" t="s">
        <v>202</v>
      </c>
      <c r="F38" s="72">
        <f>-F36*4.5%</f>
        <v>-45985.275000000001</v>
      </c>
      <c r="G38" s="72">
        <f>-G36*4.5%</f>
        <v>-50706.674999999996</v>
      </c>
      <c r="H38" s="72">
        <f>F38+G38</f>
        <v>-96691.95</v>
      </c>
      <c r="J38" s="35"/>
      <c r="L38" s="72">
        <f>-L36*4.5%</f>
        <v>-48345.974999999999</v>
      </c>
      <c r="M38" s="58">
        <f>H38-L38</f>
        <v>-48345.974999999999</v>
      </c>
      <c r="N38" s="87"/>
    </row>
    <row r="39" spans="2:14" x14ac:dyDescent="0.25">
      <c r="B39" s="1"/>
      <c r="C39" s="15"/>
      <c r="D39" s="16"/>
      <c r="E39" s="70" t="s">
        <v>41</v>
      </c>
      <c r="F39" s="34">
        <f>SUM(F36:F38)</f>
        <v>1098537.125</v>
      </c>
      <c r="G39" s="34">
        <v>1211326.125</v>
      </c>
      <c r="H39" s="34">
        <f>F39+G39</f>
        <v>2309863.25</v>
      </c>
      <c r="J39" s="35"/>
      <c r="L39" s="58">
        <f>SUM(L36:L38)</f>
        <v>1154931.625</v>
      </c>
      <c r="M39" s="58">
        <f>H39-L39</f>
        <v>1154931.625</v>
      </c>
      <c r="N39" s="87"/>
    </row>
    <row r="40" spans="2:14" x14ac:dyDescent="0.25">
      <c r="B40" s="1" t="s">
        <v>26</v>
      </c>
      <c r="C40" s="15" t="s">
        <v>27</v>
      </c>
      <c r="D40" s="16"/>
      <c r="E40" s="32"/>
      <c r="F40" s="35"/>
      <c r="G40" s="35"/>
      <c r="H40" s="35"/>
      <c r="J40" s="35"/>
      <c r="L40" s="35"/>
    </row>
    <row r="41" spans="2:14" x14ac:dyDescent="0.25">
      <c r="C41" s="16" t="s">
        <v>54</v>
      </c>
      <c r="D41" s="16">
        <v>0.1</v>
      </c>
      <c r="E41" s="32">
        <f>+$F$11*D41</f>
        <v>1021895</v>
      </c>
      <c r="F41" s="35"/>
      <c r="G41" s="35"/>
      <c r="H41" s="35"/>
      <c r="I41" s="64" t="s">
        <v>157</v>
      </c>
      <c r="J41" s="59">
        <v>40219</v>
      </c>
      <c r="K41" s="2">
        <v>40220</v>
      </c>
      <c r="L41" s="35"/>
      <c r="N41" s="85"/>
    </row>
    <row r="42" spans="2:14" x14ac:dyDescent="0.25">
      <c r="C42" s="16" t="s">
        <v>55</v>
      </c>
      <c r="D42" s="16">
        <v>0.02</v>
      </c>
      <c r="E42" s="32">
        <f>+$F$11*D42</f>
        <v>204379</v>
      </c>
      <c r="F42" s="35"/>
      <c r="G42" s="35"/>
      <c r="H42" s="35"/>
      <c r="I42" s="64" t="s">
        <v>159</v>
      </c>
      <c r="J42" s="59">
        <v>40219</v>
      </c>
      <c r="K42" s="2">
        <v>40220</v>
      </c>
      <c r="L42" s="35"/>
      <c r="N42" s="85"/>
    </row>
    <row r="43" spans="2:14" x14ac:dyDescent="0.25">
      <c r="C43" s="16" t="s">
        <v>56</v>
      </c>
      <c r="D43" s="16">
        <v>0.03</v>
      </c>
      <c r="E43" s="32">
        <f>+$F$11*D43</f>
        <v>306568.5</v>
      </c>
      <c r="F43" s="35"/>
      <c r="G43" s="35"/>
      <c r="H43" s="35"/>
      <c r="I43" s="64" t="s">
        <v>160</v>
      </c>
      <c r="J43" s="59">
        <v>40219</v>
      </c>
      <c r="K43" s="2">
        <v>40220</v>
      </c>
      <c r="L43" s="35"/>
      <c r="N43" s="85"/>
    </row>
    <row r="44" spans="2:14" x14ac:dyDescent="0.25">
      <c r="C44" s="19" t="s">
        <v>28</v>
      </c>
      <c r="D44" s="15"/>
      <c r="E44" s="37"/>
      <c r="F44" s="33">
        <f>SUM(E41:E43)</f>
        <v>1532842.5</v>
      </c>
      <c r="G44" s="33">
        <v>1690222.5</v>
      </c>
      <c r="H44" s="33">
        <f>F44+G44</f>
        <v>3223065</v>
      </c>
      <c r="J44" s="35"/>
      <c r="L44" s="33">
        <f>H44</f>
        <v>3223065</v>
      </c>
      <c r="M44" s="58">
        <f>H44-L44</f>
        <v>0</v>
      </c>
      <c r="N44" s="87" t="s">
        <v>149</v>
      </c>
    </row>
    <row r="45" spans="2:14" ht="45" x14ac:dyDescent="0.25">
      <c r="C45" s="19"/>
      <c r="D45" s="15"/>
      <c r="E45" s="70" t="s">
        <v>201</v>
      </c>
      <c r="F45" s="34">
        <f>F44*12%</f>
        <v>183941.1</v>
      </c>
      <c r="G45" s="34">
        <f>G44*12%</f>
        <v>202826.69999999998</v>
      </c>
      <c r="H45" s="34">
        <f>F45+G45</f>
        <v>386767.8</v>
      </c>
      <c r="J45" s="35"/>
      <c r="L45" s="34">
        <f>L44*12%</f>
        <v>386767.8</v>
      </c>
      <c r="M45" s="58">
        <f>H45-L45</f>
        <v>0</v>
      </c>
      <c r="N45" s="85" t="s">
        <v>158</v>
      </c>
    </row>
    <row r="46" spans="2:14" x14ac:dyDescent="0.25">
      <c r="C46" s="19"/>
      <c r="D46" s="15"/>
      <c r="E46" s="70" t="s">
        <v>202</v>
      </c>
      <c r="F46" s="72">
        <f>-F44*4.5%</f>
        <v>-68977.912499999991</v>
      </c>
      <c r="G46" s="72">
        <f>-G44*4.5%</f>
        <v>-76060.012499999997</v>
      </c>
      <c r="H46" s="72">
        <f>F46+G46</f>
        <v>-145037.92499999999</v>
      </c>
      <c r="J46" s="35"/>
      <c r="L46" s="72">
        <f>-L44*4.5%</f>
        <v>-145037.92499999999</v>
      </c>
      <c r="M46" s="58">
        <f>H46-L46</f>
        <v>0</v>
      </c>
      <c r="N46" s="87"/>
    </row>
    <row r="47" spans="2:14" x14ac:dyDescent="0.25">
      <c r="C47" s="19"/>
      <c r="D47" s="15"/>
      <c r="E47" s="70" t="s">
        <v>41</v>
      </c>
      <c r="F47" s="34">
        <f>SUM(F44:F46)</f>
        <v>1647805.6875</v>
      </c>
      <c r="G47" s="34">
        <f>SUM(G44:G46)</f>
        <v>1816989.1875</v>
      </c>
      <c r="H47" s="34">
        <f>F47+G47</f>
        <v>3464794.875</v>
      </c>
      <c r="J47" s="35"/>
      <c r="L47" s="34">
        <f>SUM(L44:L46)</f>
        <v>3464794.875</v>
      </c>
      <c r="M47" s="58">
        <f>H47-L47</f>
        <v>0</v>
      </c>
      <c r="N47" s="87"/>
    </row>
    <row r="48" spans="2:14" x14ac:dyDescent="0.25">
      <c r="B48" s="1" t="s">
        <v>29</v>
      </c>
      <c r="C48" s="20" t="s">
        <v>30</v>
      </c>
      <c r="D48" s="16"/>
      <c r="E48" s="35"/>
      <c r="F48" s="35"/>
      <c r="G48" s="35"/>
      <c r="H48" s="35"/>
      <c r="J48" s="35"/>
      <c r="L48" s="35"/>
    </row>
    <row r="49" spans="2:14" x14ac:dyDescent="0.25">
      <c r="C49" s="13" t="s">
        <v>57</v>
      </c>
      <c r="D49" s="16">
        <v>0.04</v>
      </c>
      <c r="E49" s="32">
        <f>+$F$11*D49</f>
        <v>408758</v>
      </c>
      <c r="F49" s="35"/>
      <c r="G49" s="35"/>
      <c r="H49" s="35"/>
      <c r="I49" s="64" t="s">
        <v>169</v>
      </c>
      <c r="J49" s="2">
        <v>40302</v>
      </c>
      <c r="K49" s="35" t="s">
        <v>165</v>
      </c>
      <c r="L49" s="35"/>
      <c r="N49" s="85"/>
    </row>
    <row r="50" spans="2:14" x14ac:dyDescent="0.25">
      <c r="C50" s="13" t="s">
        <v>58</v>
      </c>
      <c r="D50" s="16">
        <v>0.03</v>
      </c>
      <c r="E50" s="32">
        <f>+$F$11*D50</f>
        <v>306568.5</v>
      </c>
      <c r="F50" s="35"/>
      <c r="G50" s="35"/>
      <c r="H50" s="35"/>
      <c r="I50" s="64" t="s">
        <v>170</v>
      </c>
      <c r="J50" s="2">
        <v>40302</v>
      </c>
      <c r="K50" s="35" t="s">
        <v>165</v>
      </c>
      <c r="L50" s="35"/>
      <c r="N50" s="85"/>
    </row>
    <row r="51" spans="2:14" x14ac:dyDescent="0.25">
      <c r="C51" s="13" t="s">
        <v>59</v>
      </c>
      <c r="D51" s="16">
        <v>0.03</v>
      </c>
      <c r="E51" s="32">
        <f>+$F$11*D51</f>
        <v>306568.5</v>
      </c>
      <c r="F51" s="35"/>
      <c r="G51" s="35"/>
      <c r="H51" s="35"/>
      <c r="I51" s="64" t="s">
        <v>171</v>
      </c>
      <c r="J51" s="2">
        <v>40302</v>
      </c>
      <c r="K51" s="35" t="s">
        <v>165</v>
      </c>
      <c r="L51" s="35"/>
      <c r="N51" s="85"/>
    </row>
    <row r="52" spans="2:14" ht="30" x14ac:dyDescent="0.25">
      <c r="C52" s="20" t="s">
        <v>31</v>
      </c>
      <c r="D52" s="15"/>
      <c r="E52" s="38"/>
      <c r="F52" s="73">
        <f>SUM(E49:E51)</f>
        <v>1021895</v>
      </c>
      <c r="G52" s="73">
        <v>1126815</v>
      </c>
      <c r="H52" s="73">
        <f>F52+G52</f>
        <v>2148710</v>
      </c>
      <c r="I52" s="60">
        <v>112</v>
      </c>
      <c r="J52" s="2">
        <v>40302</v>
      </c>
      <c r="K52" s="35" t="s">
        <v>165</v>
      </c>
      <c r="L52" s="73">
        <v>8000000</v>
      </c>
      <c r="M52" s="58">
        <f>H52-L52</f>
        <v>-5851290</v>
      </c>
      <c r="N52" s="85" t="s">
        <v>168</v>
      </c>
    </row>
    <row r="53" spans="2:14" x14ac:dyDescent="0.25">
      <c r="C53" s="20"/>
      <c r="D53" s="15"/>
      <c r="E53" s="70" t="s">
        <v>201</v>
      </c>
      <c r="F53" s="34">
        <f>F52*12%</f>
        <v>122627.4</v>
      </c>
      <c r="G53" s="34">
        <v>135217.79999999999</v>
      </c>
      <c r="H53" s="34">
        <f>F53+G53</f>
        <v>257845.19999999998</v>
      </c>
      <c r="J53" s="2"/>
      <c r="K53" s="35"/>
      <c r="L53" s="34"/>
      <c r="M53" s="58">
        <f>H53-L53</f>
        <v>257845.19999999998</v>
      </c>
    </row>
    <row r="54" spans="2:14" x14ac:dyDescent="0.25">
      <c r="C54" s="20"/>
      <c r="D54" s="15"/>
      <c r="E54" s="70" t="s">
        <v>202</v>
      </c>
      <c r="F54" s="72">
        <f>-F52*4.5%</f>
        <v>-45985.275000000001</v>
      </c>
      <c r="G54" s="72">
        <v>-50706.674999999996</v>
      </c>
      <c r="H54" s="72">
        <f>F54+G54</f>
        <v>-96691.95</v>
      </c>
      <c r="J54" s="2"/>
      <c r="K54" s="35"/>
      <c r="L54" s="72"/>
      <c r="M54" s="58">
        <f>H54-L54</f>
        <v>-96691.95</v>
      </c>
    </row>
    <row r="55" spans="2:14" x14ac:dyDescent="0.25">
      <c r="C55" s="20"/>
      <c r="D55" s="15"/>
      <c r="E55" s="70" t="s">
        <v>41</v>
      </c>
      <c r="F55" s="34">
        <f>SUM(F52:F54)</f>
        <v>1098537.125</v>
      </c>
      <c r="G55" s="34">
        <v>1211326.125</v>
      </c>
      <c r="H55" s="34">
        <f>F55+G55</f>
        <v>2309863.25</v>
      </c>
      <c r="J55" s="2"/>
      <c r="K55" s="35"/>
      <c r="L55" s="34">
        <f>SUM(L52:L54)</f>
        <v>8000000</v>
      </c>
      <c r="M55" s="58">
        <f>H55-L55</f>
        <v>-5690136.75</v>
      </c>
    </row>
    <row r="56" spans="2:14" x14ac:dyDescent="0.25">
      <c r="B56" s="1" t="s">
        <v>32</v>
      </c>
      <c r="C56" s="20" t="s">
        <v>33</v>
      </c>
      <c r="D56" s="16"/>
      <c r="E56" s="35"/>
      <c r="F56" s="35"/>
      <c r="G56" s="35"/>
      <c r="H56" s="35"/>
      <c r="J56" s="35"/>
      <c r="L56" s="35"/>
      <c r="M56" s="35"/>
    </row>
    <row r="57" spans="2:14" x14ac:dyDescent="0.25">
      <c r="C57" s="13" t="s">
        <v>60</v>
      </c>
      <c r="D57" s="16">
        <v>0.02</v>
      </c>
      <c r="E57" s="32">
        <f>+$F$11*D57</f>
        <v>204379</v>
      </c>
      <c r="F57" s="35"/>
      <c r="G57" s="35"/>
      <c r="H57" s="35"/>
      <c r="I57" s="64" t="s">
        <v>172</v>
      </c>
      <c r="J57" s="2">
        <v>40302</v>
      </c>
      <c r="K57" s="35" t="s">
        <v>165</v>
      </c>
      <c r="L57" s="35"/>
      <c r="M57" s="35"/>
    </row>
    <row r="58" spans="2:14" x14ac:dyDescent="0.25">
      <c r="C58" s="21" t="s">
        <v>61</v>
      </c>
      <c r="D58" s="16">
        <v>0.04</v>
      </c>
      <c r="E58" s="32">
        <f>+$F$11*D58</f>
        <v>408758</v>
      </c>
      <c r="F58" s="35"/>
      <c r="G58" s="35"/>
      <c r="H58" s="35"/>
      <c r="I58" s="64" t="s">
        <v>173</v>
      </c>
      <c r="J58" s="2">
        <v>40302</v>
      </c>
      <c r="K58" s="35" t="s">
        <v>165</v>
      </c>
      <c r="L58" s="35"/>
      <c r="M58" s="35"/>
    </row>
    <row r="59" spans="2:14" x14ac:dyDescent="0.25">
      <c r="C59" s="13" t="s">
        <v>62</v>
      </c>
      <c r="D59" s="16">
        <v>0.04</v>
      </c>
      <c r="E59" s="32">
        <f>+$F$11*D59</f>
        <v>408758</v>
      </c>
      <c r="F59" s="35"/>
      <c r="G59" s="35"/>
      <c r="H59" s="35"/>
      <c r="I59" s="64" t="s">
        <v>174</v>
      </c>
      <c r="J59" s="2">
        <v>40302</v>
      </c>
      <c r="K59" s="35" t="s">
        <v>165</v>
      </c>
      <c r="L59" s="35"/>
      <c r="M59" s="35"/>
    </row>
    <row r="60" spans="2:14" x14ac:dyDescent="0.25">
      <c r="C60" s="20" t="s">
        <v>34</v>
      </c>
      <c r="D60" s="16"/>
      <c r="E60" s="35"/>
      <c r="F60" s="73">
        <f>SUM(E57:E59)</f>
        <v>1021895</v>
      </c>
      <c r="G60" s="73">
        <v>1126815</v>
      </c>
      <c r="H60" s="73">
        <f>F60+G60</f>
        <v>2148710</v>
      </c>
      <c r="J60" s="35"/>
      <c r="K60" s="2">
        <v>40275</v>
      </c>
      <c r="L60" s="73"/>
      <c r="M60" s="58">
        <f>H60-L60</f>
        <v>2148710</v>
      </c>
    </row>
    <row r="61" spans="2:14" x14ac:dyDescent="0.25">
      <c r="C61" s="20"/>
      <c r="D61" s="16"/>
      <c r="E61" s="70" t="s">
        <v>201</v>
      </c>
      <c r="F61" s="34">
        <f>F60*12%</f>
        <v>122627.4</v>
      </c>
      <c r="G61" s="34">
        <v>135217.79999999999</v>
      </c>
      <c r="H61" s="34">
        <f>F61+G61</f>
        <v>257845.19999999998</v>
      </c>
      <c r="J61" s="35"/>
      <c r="L61" s="34"/>
      <c r="M61" s="58">
        <f>H61-L61</f>
        <v>257845.19999999998</v>
      </c>
    </row>
    <row r="62" spans="2:14" x14ac:dyDescent="0.25">
      <c r="C62" s="20"/>
      <c r="D62" s="16"/>
      <c r="E62" s="70" t="s">
        <v>202</v>
      </c>
      <c r="F62" s="72">
        <f>-F60*4.5%</f>
        <v>-45985.275000000001</v>
      </c>
      <c r="G62" s="72">
        <v>-50706.674999999996</v>
      </c>
      <c r="H62" s="72">
        <f>F62+G62</f>
        <v>-96691.95</v>
      </c>
      <c r="J62" s="35"/>
      <c r="L62" s="72"/>
      <c r="M62" s="58">
        <f>H62-L62</f>
        <v>-96691.95</v>
      </c>
    </row>
    <row r="63" spans="2:14" x14ac:dyDescent="0.25">
      <c r="C63" s="20"/>
      <c r="D63" s="16"/>
      <c r="E63" s="70" t="s">
        <v>41</v>
      </c>
      <c r="F63" s="34">
        <f>SUM(F60:F62)</f>
        <v>1098537.125</v>
      </c>
      <c r="G63" s="34">
        <v>1211326.125</v>
      </c>
      <c r="H63" s="34">
        <f>F63+G63</f>
        <v>2309863.25</v>
      </c>
      <c r="J63" s="35"/>
      <c r="L63" s="34"/>
      <c r="M63" s="58">
        <f>H63-L63</f>
        <v>2309863.25</v>
      </c>
    </row>
    <row r="64" spans="2:14" x14ac:dyDescent="0.25">
      <c r="B64" s="1" t="s">
        <v>35</v>
      </c>
      <c r="C64" s="20" t="s">
        <v>36</v>
      </c>
      <c r="D64" s="16"/>
      <c r="E64" s="35"/>
      <c r="F64" s="35"/>
      <c r="G64" s="35"/>
      <c r="H64" s="35"/>
      <c r="J64" s="35"/>
      <c r="L64" s="35"/>
      <c r="M64" s="35"/>
    </row>
    <row r="65" spans="2:13" x14ac:dyDescent="0.25">
      <c r="C65" s="21" t="s">
        <v>63</v>
      </c>
      <c r="D65" s="16">
        <v>0.04</v>
      </c>
      <c r="E65" s="32">
        <f>+$F$11*D65</f>
        <v>408758</v>
      </c>
      <c r="F65" s="35"/>
      <c r="G65" s="35"/>
      <c r="H65" s="35"/>
      <c r="I65" s="64" t="s">
        <v>178</v>
      </c>
      <c r="J65" s="2">
        <v>40302</v>
      </c>
      <c r="K65" s="35" t="s">
        <v>165</v>
      </c>
      <c r="L65" s="35"/>
      <c r="M65" s="35"/>
    </row>
    <row r="66" spans="2:13" x14ac:dyDescent="0.25">
      <c r="C66" s="21" t="s">
        <v>64</v>
      </c>
      <c r="D66" s="16">
        <v>0.02</v>
      </c>
      <c r="E66" s="32">
        <f>+$F$11*D66</f>
        <v>204379</v>
      </c>
      <c r="F66" s="35"/>
      <c r="G66" s="35"/>
      <c r="H66" s="35"/>
      <c r="I66" s="64" t="s">
        <v>179</v>
      </c>
      <c r="J66" s="2">
        <v>40302</v>
      </c>
      <c r="K66" s="35" t="s">
        <v>165</v>
      </c>
      <c r="L66" s="35"/>
      <c r="M66" s="35"/>
    </row>
    <row r="67" spans="2:13" x14ac:dyDescent="0.25">
      <c r="C67" s="21" t="s">
        <v>65</v>
      </c>
      <c r="D67" s="16">
        <v>0.02</v>
      </c>
      <c r="E67" s="32">
        <f>+$F$11*D67</f>
        <v>204379</v>
      </c>
      <c r="F67" s="35"/>
      <c r="G67" s="35"/>
      <c r="H67" s="35"/>
      <c r="I67" s="64" t="s">
        <v>180</v>
      </c>
      <c r="J67" s="2">
        <v>40302</v>
      </c>
      <c r="K67" s="35" t="s">
        <v>165</v>
      </c>
      <c r="L67" s="35"/>
      <c r="M67" s="35"/>
    </row>
    <row r="68" spans="2:13" x14ac:dyDescent="0.25">
      <c r="C68" s="21" t="s">
        <v>66</v>
      </c>
      <c r="D68" s="16">
        <v>0.03</v>
      </c>
      <c r="E68" s="32">
        <f>+$F$11*D68</f>
        <v>306568.5</v>
      </c>
      <c r="F68" s="35"/>
      <c r="G68" s="35"/>
      <c r="H68" s="35"/>
      <c r="I68" s="64" t="s">
        <v>181</v>
      </c>
      <c r="J68" s="2">
        <v>40302</v>
      </c>
      <c r="K68" s="35" t="s">
        <v>165</v>
      </c>
      <c r="L68" s="35"/>
      <c r="M68" s="35"/>
    </row>
    <row r="69" spans="2:13" x14ac:dyDescent="0.25">
      <c r="C69" s="21" t="s">
        <v>67</v>
      </c>
      <c r="D69" s="16">
        <v>0.04</v>
      </c>
      <c r="E69" s="32">
        <f>+$F$11*D69</f>
        <v>408758</v>
      </c>
      <c r="F69" s="35"/>
      <c r="G69" s="35"/>
      <c r="H69" s="35"/>
      <c r="I69" s="64" t="s">
        <v>182</v>
      </c>
      <c r="J69" s="2">
        <v>40302</v>
      </c>
      <c r="K69" s="35" t="s">
        <v>165</v>
      </c>
      <c r="L69" s="35"/>
      <c r="M69" s="35"/>
    </row>
    <row r="70" spans="2:13" x14ac:dyDescent="0.25">
      <c r="C70" s="1" t="s">
        <v>37</v>
      </c>
      <c r="D70" s="16"/>
      <c r="E70" s="35"/>
      <c r="F70" s="73">
        <f>SUM(E65:E69)</f>
        <v>1532842.5</v>
      </c>
      <c r="G70" s="73">
        <v>1690222.5</v>
      </c>
      <c r="H70" s="73">
        <f>F70+G70</f>
        <v>3223065</v>
      </c>
      <c r="J70" s="35"/>
      <c r="K70" s="2">
        <v>40275</v>
      </c>
      <c r="L70" s="73"/>
      <c r="M70" s="58">
        <f>H70-L70</f>
        <v>3223065</v>
      </c>
    </row>
    <row r="71" spans="2:13" x14ac:dyDescent="0.25">
      <c r="C71" s="1"/>
      <c r="D71" s="16"/>
      <c r="E71" s="70" t="s">
        <v>201</v>
      </c>
      <c r="F71" s="34">
        <f>F70*12%</f>
        <v>183941.1</v>
      </c>
      <c r="G71" s="34">
        <v>202826.69999999998</v>
      </c>
      <c r="H71" s="34">
        <f>F71+G71</f>
        <v>386767.8</v>
      </c>
      <c r="J71" s="35"/>
      <c r="L71" s="34"/>
      <c r="M71" s="58">
        <f>H71-L71</f>
        <v>386767.8</v>
      </c>
    </row>
    <row r="72" spans="2:13" x14ac:dyDescent="0.25">
      <c r="C72" s="1"/>
      <c r="D72" s="16"/>
      <c r="E72" s="70" t="s">
        <v>202</v>
      </c>
      <c r="F72" s="72">
        <f>-F70*4.5%</f>
        <v>-68977.912499999991</v>
      </c>
      <c r="G72" s="72">
        <v>-76060.012499999997</v>
      </c>
      <c r="H72" s="72">
        <f>F72+G72</f>
        <v>-145037.92499999999</v>
      </c>
      <c r="J72" s="35"/>
      <c r="L72" s="72"/>
      <c r="M72" s="58">
        <f>H72-L72</f>
        <v>-145037.92499999999</v>
      </c>
    </row>
    <row r="73" spans="2:13" x14ac:dyDescent="0.25">
      <c r="C73" s="1"/>
      <c r="D73" s="16"/>
      <c r="E73" s="70" t="s">
        <v>41</v>
      </c>
      <c r="F73" s="34">
        <f>SUM(F70:F72)</f>
        <v>1647805.6875</v>
      </c>
      <c r="G73" s="34">
        <v>1816989.1875</v>
      </c>
      <c r="H73" s="34">
        <f>F73+G73</f>
        <v>3464794.875</v>
      </c>
      <c r="J73" s="35"/>
      <c r="L73" s="34"/>
      <c r="M73" s="58">
        <f>H73-L73</f>
        <v>3464794.875</v>
      </c>
    </row>
    <row r="74" spans="2:13" x14ac:dyDescent="0.25">
      <c r="B74" s="1" t="s">
        <v>38</v>
      </c>
      <c r="C74" s="1" t="s">
        <v>39</v>
      </c>
      <c r="D74" s="16"/>
      <c r="E74" s="35"/>
      <c r="F74" s="35"/>
      <c r="G74" s="35"/>
      <c r="H74" s="35"/>
      <c r="J74" s="35"/>
      <c r="L74" s="35"/>
      <c r="M74" s="35"/>
    </row>
    <row r="75" spans="2:13" ht="30" x14ac:dyDescent="0.25">
      <c r="C75" s="21" t="s">
        <v>68</v>
      </c>
      <c r="D75" s="16">
        <v>0.03</v>
      </c>
      <c r="E75" s="32">
        <f>+$F$11*D75</f>
        <v>306568.5</v>
      </c>
      <c r="F75" s="35"/>
      <c r="G75" s="35"/>
      <c r="H75" s="35"/>
      <c r="I75" s="64" t="s">
        <v>188</v>
      </c>
      <c r="J75" s="2">
        <v>40302</v>
      </c>
      <c r="K75" s="35" t="s">
        <v>165</v>
      </c>
      <c r="L75" s="35"/>
      <c r="M75" s="35"/>
    </row>
    <row r="76" spans="2:13" ht="30" x14ac:dyDescent="0.25">
      <c r="C76" s="21" t="s">
        <v>69</v>
      </c>
      <c r="D76" s="16">
        <v>0.01</v>
      </c>
      <c r="E76" s="32">
        <f>+$F$11*D76</f>
        <v>102189.5</v>
      </c>
      <c r="F76" s="35"/>
      <c r="G76" s="35"/>
      <c r="H76" s="35"/>
      <c r="I76" s="64" t="s">
        <v>189</v>
      </c>
      <c r="J76" s="2">
        <v>40302</v>
      </c>
      <c r="K76" s="35" t="s">
        <v>165</v>
      </c>
      <c r="L76" s="35"/>
      <c r="M76" s="35"/>
    </row>
    <row r="77" spans="2:13" ht="30" x14ac:dyDescent="0.25">
      <c r="C77" s="21" t="s">
        <v>70</v>
      </c>
      <c r="D77" s="16">
        <v>0.01</v>
      </c>
      <c r="E77" s="32">
        <f>+$F$11*D77</f>
        <v>102189.5</v>
      </c>
      <c r="F77" s="35"/>
      <c r="G77" s="35"/>
      <c r="H77" s="35"/>
      <c r="I77" s="64" t="s">
        <v>190</v>
      </c>
      <c r="J77" s="2">
        <v>40302</v>
      </c>
      <c r="K77" s="35" t="s">
        <v>165</v>
      </c>
      <c r="L77" s="35"/>
      <c r="M77" s="35"/>
    </row>
    <row r="78" spans="2:13" x14ac:dyDescent="0.25">
      <c r="C78" s="1" t="s">
        <v>40</v>
      </c>
      <c r="E78" s="35"/>
      <c r="F78" s="73">
        <f>SUM(E75:E77)</f>
        <v>510947.5</v>
      </c>
      <c r="G78" s="73">
        <v>563407.5</v>
      </c>
      <c r="H78" s="73">
        <f>F78+G78</f>
        <v>1074355</v>
      </c>
      <c r="J78" s="35"/>
      <c r="K78" s="2">
        <v>40366</v>
      </c>
      <c r="L78" s="73"/>
      <c r="M78" s="58">
        <f t="shared" ref="M78:M86" si="1">H78-L78</f>
        <v>1074355</v>
      </c>
    </row>
    <row r="79" spans="2:13" x14ac:dyDescent="0.25">
      <c r="C79" s="1"/>
      <c r="E79" s="70" t="s">
        <v>201</v>
      </c>
      <c r="F79" s="34">
        <f>F78*12%</f>
        <v>61313.7</v>
      </c>
      <c r="G79" s="34">
        <v>67608.899999999994</v>
      </c>
      <c r="H79" s="34">
        <f>F79+G79</f>
        <v>128922.59999999999</v>
      </c>
      <c r="J79" s="35"/>
      <c r="L79" s="34"/>
      <c r="M79" s="58">
        <f t="shared" si="1"/>
        <v>128922.59999999999</v>
      </c>
    </row>
    <row r="80" spans="2:13" x14ac:dyDescent="0.25">
      <c r="C80" s="1"/>
      <c r="E80" s="70" t="s">
        <v>202</v>
      </c>
      <c r="F80" s="72">
        <f>-F78*4.5%</f>
        <v>-22992.637500000001</v>
      </c>
      <c r="G80" s="72">
        <v>-25353.337499999998</v>
      </c>
      <c r="H80" s="72">
        <f>F80+G80</f>
        <v>-48345.974999999999</v>
      </c>
      <c r="J80" s="35"/>
      <c r="L80" s="72"/>
      <c r="M80" s="58">
        <f t="shared" si="1"/>
        <v>-48345.974999999999</v>
      </c>
    </row>
    <row r="81" spans="3:13" x14ac:dyDescent="0.25">
      <c r="C81" s="1"/>
      <c r="E81" s="70" t="s">
        <v>41</v>
      </c>
      <c r="F81" s="34">
        <f>SUM(F78:F80)</f>
        <v>549268.5625</v>
      </c>
      <c r="G81" s="34">
        <v>605663.0625</v>
      </c>
      <c r="H81" s="34">
        <f>F81+G81</f>
        <v>1154931.625</v>
      </c>
      <c r="J81" s="35"/>
      <c r="L81" s="34"/>
      <c r="M81" s="58">
        <f t="shared" si="1"/>
        <v>1154931.625</v>
      </c>
    </row>
    <row r="82" spans="3:13" x14ac:dyDescent="0.25">
      <c r="C82" s="1"/>
      <c r="E82" s="70"/>
      <c r="F82" s="70"/>
      <c r="G82" s="34"/>
      <c r="H82" s="34"/>
      <c r="J82" s="35"/>
      <c r="L82" s="70"/>
      <c r="M82" s="35"/>
    </row>
    <row r="83" spans="3:13" x14ac:dyDescent="0.25">
      <c r="C83" s="74" t="s">
        <v>203</v>
      </c>
      <c r="D83" s="75">
        <f>SUM(D16:D77)</f>
        <v>1.0000000000000004</v>
      </c>
      <c r="E83" s="69"/>
      <c r="F83" s="76">
        <f t="shared" ref="F83:G85" si="2">SUM(F16,F28,F36,F44,F52,F60,F70,F78)</f>
        <v>10218950</v>
      </c>
      <c r="G83" s="76">
        <f t="shared" si="2"/>
        <v>11268150</v>
      </c>
      <c r="H83" s="76">
        <f>F83+G83</f>
        <v>21487100</v>
      </c>
      <c r="J83" s="35"/>
      <c r="L83" s="76">
        <f>SUM(L16,L28,L36,L44,L52,L60,L70,L78)</f>
        <v>19817905</v>
      </c>
      <c r="M83" s="58">
        <f t="shared" si="1"/>
        <v>1669195</v>
      </c>
    </row>
    <row r="84" spans="3:13" x14ac:dyDescent="0.25">
      <c r="C84" s="80" t="s">
        <v>201</v>
      </c>
      <c r="D84" s="77"/>
      <c r="E84" s="77"/>
      <c r="F84" s="78">
        <f t="shared" si="2"/>
        <v>1226274</v>
      </c>
      <c r="G84" s="78">
        <f t="shared" si="2"/>
        <v>1352177.9999999998</v>
      </c>
      <c r="H84" s="78">
        <f>F84+G84</f>
        <v>2578452</v>
      </c>
      <c r="L84" s="78">
        <f>SUM(L17,L29,L37,L45,L53,L61,L71,L79)</f>
        <v>1418148.5999999999</v>
      </c>
      <c r="M84" s="58">
        <f t="shared" si="1"/>
        <v>1160303.4000000001</v>
      </c>
    </row>
    <row r="85" spans="3:13" x14ac:dyDescent="0.25">
      <c r="C85" s="80" t="s">
        <v>202</v>
      </c>
      <c r="D85" s="77"/>
      <c r="E85" s="77"/>
      <c r="F85" s="79">
        <f t="shared" si="2"/>
        <v>-459852.75</v>
      </c>
      <c r="G85" s="79">
        <f t="shared" si="2"/>
        <v>-507066.75</v>
      </c>
      <c r="H85" s="79">
        <f>F85+G85</f>
        <v>-966919.5</v>
      </c>
      <c r="L85" s="79">
        <f>SUM(L18,L30,L38,L46,L54,L62,L72,L80)</f>
        <v>-531805.72499999998</v>
      </c>
      <c r="M85" s="58">
        <f t="shared" si="1"/>
        <v>-435113.77500000002</v>
      </c>
    </row>
    <row r="86" spans="3:13" x14ac:dyDescent="0.25">
      <c r="C86" s="74" t="s">
        <v>41</v>
      </c>
      <c r="D86" s="77"/>
      <c r="E86" s="77"/>
      <c r="F86" s="78">
        <f>SUM(F83:F85)</f>
        <v>10985371.25</v>
      </c>
      <c r="G86" s="78">
        <f>SUM(G83:G85)</f>
        <v>12113261.25</v>
      </c>
      <c r="H86" s="78">
        <f>F86+G86</f>
        <v>23098632.5</v>
      </c>
      <c r="L86" s="78">
        <f>SUM(L83:L85)</f>
        <v>20704247.875</v>
      </c>
      <c r="M86" s="58">
        <f t="shared" si="1"/>
        <v>2394384.625</v>
      </c>
    </row>
    <row r="90" spans="3:13" x14ac:dyDescent="0.25">
      <c r="I90" s="63"/>
      <c r="J90" s="50"/>
    </row>
    <row r="91" spans="3:13" x14ac:dyDescent="0.25">
      <c r="I91" s="63"/>
      <c r="J91" s="4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pane ySplit="6" topLeftCell="A10" activePane="bottomLeft" state="frozenSplit"/>
      <selection pane="bottomLeft" activeCell="A19" sqref="A19"/>
    </sheetView>
  </sheetViews>
  <sheetFormatPr defaultRowHeight="15" x14ac:dyDescent="0.25"/>
  <cols>
    <col min="1" max="1" width="12.85546875" customWidth="1"/>
    <col min="2" max="2" width="47" customWidth="1"/>
    <col min="3" max="3" width="7.140625" bestFit="1" customWidth="1"/>
    <col min="4" max="4" width="17.140625" customWidth="1"/>
    <col min="5" max="5" width="16.140625" bestFit="1" customWidth="1"/>
    <col min="6" max="6" width="4.140625" customWidth="1"/>
    <col min="7" max="7" width="8.28515625" bestFit="1" customWidth="1"/>
    <col min="8" max="8" width="9.7109375" style="2" bestFit="1" customWidth="1"/>
    <col min="9" max="9" width="12.28515625" customWidth="1"/>
    <col min="10" max="12" width="16.140625" bestFit="1" customWidth="1"/>
    <col min="13" max="13" width="18.28515625" bestFit="1" customWidth="1"/>
  </cols>
  <sheetData>
    <row r="1" spans="1:13" x14ac:dyDescent="0.25">
      <c r="A1" s="1" t="s">
        <v>195</v>
      </c>
      <c r="B1" s="71" t="s">
        <v>215</v>
      </c>
      <c r="D1" t="s">
        <v>79</v>
      </c>
    </row>
    <row r="2" spans="1:13" x14ac:dyDescent="0.25">
      <c r="A2" s="1" t="s">
        <v>194</v>
      </c>
      <c r="B2" s="1" t="s">
        <v>196</v>
      </c>
      <c r="D2" t="s">
        <v>80</v>
      </c>
    </row>
    <row r="3" spans="1:13" x14ac:dyDescent="0.25">
      <c r="A3" t="s">
        <v>3</v>
      </c>
      <c r="B3" t="s">
        <v>78</v>
      </c>
      <c r="D3" t="s">
        <v>8</v>
      </c>
    </row>
    <row r="4" spans="1:13" ht="15.75" thickBot="1" x14ac:dyDescent="0.3"/>
    <row r="5" spans="1:13" x14ac:dyDescent="0.25">
      <c r="A5" s="4"/>
      <c r="B5" s="6"/>
      <c r="C5" s="5"/>
      <c r="D5" s="23" t="s">
        <v>42</v>
      </c>
      <c r="E5" s="66">
        <v>41684710</v>
      </c>
      <c r="F5" s="25"/>
      <c r="G5" s="7" t="s">
        <v>10</v>
      </c>
      <c r="H5" s="52" t="s">
        <v>10</v>
      </c>
      <c r="I5" s="6" t="s">
        <v>125</v>
      </c>
      <c r="J5" s="66" t="s">
        <v>222</v>
      </c>
      <c r="K5" s="66" t="s">
        <v>11</v>
      </c>
      <c r="L5" s="66" t="s">
        <v>204</v>
      </c>
      <c r="M5" s="83" t="s">
        <v>205</v>
      </c>
    </row>
    <row r="6" spans="1:13" ht="15.75" thickBot="1" x14ac:dyDescent="0.3">
      <c r="A6" s="9" t="s">
        <v>43</v>
      </c>
      <c r="B6" s="10" t="s">
        <v>12</v>
      </c>
      <c r="C6" s="10" t="s">
        <v>13</v>
      </c>
      <c r="D6" s="29" t="s">
        <v>14</v>
      </c>
      <c r="E6" s="29" t="s">
        <v>15</v>
      </c>
      <c r="F6" s="30"/>
      <c r="G6" s="11" t="s">
        <v>73</v>
      </c>
      <c r="H6" s="53" t="s">
        <v>17</v>
      </c>
      <c r="I6" s="10" t="s">
        <v>17</v>
      </c>
      <c r="J6" s="29"/>
      <c r="K6" s="29" t="s">
        <v>14</v>
      </c>
      <c r="L6" s="29"/>
      <c r="M6" s="31"/>
    </row>
    <row r="7" spans="1:13" x14ac:dyDescent="0.25">
      <c r="B7" s="15"/>
      <c r="C7" s="16">
        <v>0.25</v>
      </c>
      <c r="D7" s="32">
        <f>+$E$5*C7</f>
        <v>10421177.5</v>
      </c>
      <c r="E7" s="33">
        <f>+D7</f>
        <v>10421177.5</v>
      </c>
      <c r="F7" s="34"/>
      <c r="G7" s="65">
        <v>160</v>
      </c>
      <c r="H7" s="2">
        <v>40311</v>
      </c>
      <c r="I7" s="59">
        <v>40273</v>
      </c>
      <c r="J7" s="33">
        <f>E7</f>
        <v>10421177.5</v>
      </c>
      <c r="K7" s="33">
        <v>10421177.5</v>
      </c>
      <c r="L7" s="33">
        <f>J7-K7</f>
        <v>0</v>
      </c>
      <c r="M7" t="s">
        <v>206</v>
      </c>
    </row>
    <row r="8" spans="1:13" x14ac:dyDescent="0.25">
      <c r="B8" s="15"/>
      <c r="C8" s="16"/>
      <c r="D8" s="70" t="s">
        <v>201</v>
      </c>
      <c r="E8" s="34">
        <f>E7*12%</f>
        <v>1250541.3</v>
      </c>
      <c r="F8" s="34"/>
      <c r="G8" s="65"/>
      <c r="I8" s="59"/>
      <c r="J8" s="34">
        <f>E8</f>
        <v>1250541.3</v>
      </c>
      <c r="K8" s="34">
        <v>0</v>
      </c>
      <c r="L8" s="34">
        <f>J8-K8</f>
        <v>1250541.3</v>
      </c>
    </row>
    <row r="9" spans="1:13" x14ac:dyDescent="0.25">
      <c r="B9" s="15"/>
      <c r="C9" s="16"/>
      <c r="D9" s="70" t="s">
        <v>202</v>
      </c>
      <c r="E9" s="72">
        <f>-E7*4.5%</f>
        <v>-468952.98749999999</v>
      </c>
      <c r="F9" s="34"/>
      <c r="G9" s="65"/>
      <c r="I9" s="59"/>
      <c r="J9" s="72">
        <f>E9</f>
        <v>-468952.98749999999</v>
      </c>
      <c r="K9" s="72">
        <v>0</v>
      </c>
      <c r="L9" s="72">
        <f>J9-K9</f>
        <v>-468952.98749999999</v>
      </c>
    </row>
    <row r="10" spans="1:13" x14ac:dyDescent="0.25">
      <c r="B10" s="15"/>
      <c r="C10" s="16"/>
      <c r="D10" s="70" t="s">
        <v>41</v>
      </c>
      <c r="E10" s="34">
        <f>SUM(E7:E9)</f>
        <v>11202765.8125</v>
      </c>
      <c r="F10" s="34"/>
      <c r="G10" s="65"/>
      <c r="I10" s="59"/>
      <c r="J10" s="34">
        <f>E10</f>
        <v>11202765.8125</v>
      </c>
      <c r="K10" s="34">
        <f>SUM(K7:K9)</f>
        <v>10421177.5</v>
      </c>
      <c r="L10" s="34">
        <f>J10-K10</f>
        <v>781588.3125</v>
      </c>
    </row>
    <row r="11" spans="1:13" x14ac:dyDescent="0.25">
      <c r="A11" s="1" t="s">
        <v>19</v>
      </c>
      <c r="B11" s="15" t="s">
        <v>81</v>
      </c>
      <c r="C11" s="16"/>
      <c r="D11" s="32"/>
      <c r="E11" s="35"/>
      <c r="F11" s="35"/>
      <c r="G11" s="65"/>
      <c r="I11" s="35"/>
      <c r="J11" s="35"/>
      <c r="K11" s="35"/>
      <c r="L11" s="35"/>
    </row>
    <row r="12" spans="1:13" x14ac:dyDescent="0.25">
      <c r="A12" s="1" t="s">
        <v>20</v>
      </c>
      <c r="B12" t="s">
        <v>45</v>
      </c>
      <c r="C12" s="16">
        <v>0.05</v>
      </c>
      <c r="D12" s="32">
        <f>+$E$5*C12</f>
        <v>2084235.5</v>
      </c>
      <c r="E12" s="35"/>
      <c r="F12" s="35"/>
      <c r="G12" s="65"/>
      <c r="I12" s="59"/>
      <c r="J12" s="35"/>
      <c r="K12" s="35"/>
      <c r="L12" s="35"/>
    </row>
    <row r="13" spans="1:13" x14ac:dyDescent="0.25">
      <c r="B13" t="s">
        <v>197</v>
      </c>
      <c r="C13" s="16">
        <v>0.05</v>
      </c>
      <c r="D13" s="32">
        <f>+$E$5*C13</f>
        <v>2084235.5</v>
      </c>
      <c r="E13" s="35"/>
      <c r="F13" s="35"/>
      <c r="G13" s="65"/>
      <c r="I13" s="59"/>
      <c r="J13" s="35"/>
      <c r="K13" s="35"/>
      <c r="L13" s="35"/>
    </row>
    <row r="14" spans="1:13" x14ac:dyDescent="0.25">
      <c r="B14" s="1" t="s">
        <v>22</v>
      </c>
      <c r="C14" s="16"/>
      <c r="D14" s="32"/>
      <c r="E14" s="33">
        <f>SUM(D12:D13)</f>
        <v>4168471</v>
      </c>
      <c r="F14" s="38"/>
      <c r="G14" s="65"/>
      <c r="H14" s="2">
        <v>40336</v>
      </c>
      <c r="I14" s="35"/>
      <c r="J14" s="33">
        <f>E14</f>
        <v>4168471</v>
      </c>
      <c r="K14" s="33">
        <v>0</v>
      </c>
      <c r="L14" s="33">
        <f>J14-K14</f>
        <v>4168471</v>
      </c>
    </row>
    <row r="15" spans="1:13" x14ac:dyDescent="0.25">
      <c r="B15" s="1"/>
      <c r="C15" s="16"/>
      <c r="D15" s="70" t="s">
        <v>201</v>
      </c>
      <c r="E15" s="34">
        <f>E14*12%</f>
        <v>500216.51999999996</v>
      </c>
      <c r="F15" s="38"/>
      <c r="G15" s="65"/>
      <c r="I15" s="35"/>
      <c r="J15" s="34">
        <f>E15</f>
        <v>500216.51999999996</v>
      </c>
      <c r="K15" s="34">
        <v>0</v>
      </c>
      <c r="L15" s="34">
        <f>J15-K15</f>
        <v>500216.51999999996</v>
      </c>
    </row>
    <row r="16" spans="1:13" x14ac:dyDescent="0.25">
      <c r="B16" s="1"/>
      <c r="C16" s="16"/>
      <c r="D16" s="70" t="s">
        <v>202</v>
      </c>
      <c r="E16" s="72">
        <f>-E14*4.5%</f>
        <v>-187581.19500000001</v>
      </c>
      <c r="F16" s="38"/>
      <c r="G16" s="65"/>
      <c r="I16" s="35"/>
      <c r="J16" s="72">
        <f>E16</f>
        <v>-187581.19500000001</v>
      </c>
      <c r="K16" s="72">
        <v>0</v>
      </c>
      <c r="L16" s="72">
        <f>J16-K16</f>
        <v>-187581.19500000001</v>
      </c>
    </row>
    <row r="17" spans="1:12" x14ac:dyDescent="0.25">
      <c r="B17" s="1"/>
      <c r="C17" s="16"/>
      <c r="D17" s="70" t="s">
        <v>41</v>
      </c>
      <c r="E17" s="34">
        <f>SUM(E14:E16)</f>
        <v>4481106.3249999993</v>
      </c>
      <c r="F17" s="38"/>
      <c r="G17" s="65"/>
      <c r="I17" s="35"/>
      <c r="J17" s="34">
        <f>E17</f>
        <v>4481106.3249999993</v>
      </c>
      <c r="K17" s="34">
        <v>0</v>
      </c>
      <c r="L17" s="34">
        <f>J17-K17</f>
        <v>4481106.3249999993</v>
      </c>
    </row>
    <row r="18" spans="1:12" x14ac:dyDescent="0.25">
      <c r="B18" s="15" t="s">
        <v>198</v>
      </c>
      <c r="C18" s="15"/>
      <c r="D18" s="37"/>
      <c r="E18" s="38"/>
      <c r="F18" s="38"/>
      <c r="G18" s="65"/>
      <c r="I18" s="35"/>
      <c r="J18" s="38"/>
      <c r="K18" s="38"/>
      <c r="L18" s="38"/>
    </row>
    <row r="19" spans="1:12" x14ac:dyDescent="0.25">
      <c r="A19" s="1" t="s">
        <v>23</v>
      </c>
      <c r="B19" s="16" t="s">
        <v>83</v>
      </c>
      <c r="C19" s="16">
        <v>0.1</v>
      </c>
      <c r="D19" s="32">
        <f>+$E$5*C19</f>
        <v>4168471</v>
      </c>
      <c r="F19" s="38"/>
      <c r="G19" s="65"/>
      <c r="I19" s="35"/>
    </row>
    <row r="20" spans="1:12" x14ac:dyDescent="0.25">
      <c r="A20" s="1"/>
      <c r="B20" s="16" t="s">
        <v>84</v>
      </c>
      <c r="C20" s="16">
        <v>0.05</v>
      </c>
      <c r="D20" s="32">
        <f>+$E$5*C20</f>
        <v>2084235.5</v>
      </c>
      <c r="E20" s="38"/>
      <c r="F20" s="38"/>
      <c r="G20" s="65"/>
      <c r="I20" s="35"/>
      <c r="J20" s="38"/>
      <c r="K20" s="38"/>
      <c r="L20" s="38"/>
    </row>
    <row r="21" spans="1:12" x14ac:dyDescent="0.25">
      <c r="A21" s="1"/>
      <c r="B21" s="1" t="s">
        <v>25</v>
      </c>
      <c r="C21" s="16"/>
      <c r="D21" s="32"/>
      <c r="E21" s="33">
        <f>SUM(D19:D20)</f>
        <v>6252706.5</v>
      </c>
      <c r="F21" s="35"/>
      <c r="G21" s="65"/>
      <c r="I21" s="35"/>
      <c r="J21" s="33"/>
      <c r="K21" s="33">
        <v>0</v>
      </c>
      <c r="L21" s="33">
        <f>J21-K21</f>
        <v>0</v>
      </c>
    </row>
    <row r="22" spans="1:12" x14ac:dyDescent="0.25">
      <c r="A22" s="1"/>
      <c r="B22" s="1"/>
      <c r="C22" s="16"/>
      <c r="D22" s="70" t="s">
        <v>201</v>
      </c>
      <c r="E22" s="34">
        <f>E21*12%</f>
        <v>750324.78</v>
      </c>
      <c r="F22" s="35"/>
      <c r="G22" s="65"/>
      <c r="I22" s="35"/>
      <c r="J22" s="34"/>
      <c r="K22" s="34">
        <v>0</v>
      </c>
      <c r="L22" s="34">
        <f>J22-K22</f>
        <v>0</v>
      </c>
    </row>
    <row r="23" spans="1:12" x14ac:dyDescent="0.25">
      <c r="A23" s="1"/>
      <c r="B23" s="1"/>
      <c r="C23" s="16"/>
      <c r="D23" s="70" t="s">
        <v>202</v>
      </c>
      <c r="E23" s="72">
        <f>-E21*4.5%</f>
        <v>-281371.79249999998</v>
      </c>
      <c r="F23" s="35"/>
      <c r="G23" s="65"/>
      <c r="I23" s="35"/>
      <c r="J23" s="72"/>
      <c r="K23" s="72">
        <v>0</v>
      </c>
      <c r="L23" s="72">
        <f>J23-K23</f>
        <v>0</v>
      </c>
    </row>
    <row r="24" spans="1:12" x14ac:dyDescent="0.25">
      <c r="A24" s="1"/>
      <c r="B24" s="1"/>
      <c r="C24" s="16"/>
      <c r="D24" s="70" t="s">
        <v>41</v>
      </c>
      <c r="E24" s="34">
        <f>SUM(E21:E23)</f>
        <v>6721659.4875000007</v>
      </c>
      <c r="F24" s="35"/>
      <c r="G24" s="65"/>
      <c r="I24" s="35"/>
      <c r="J24" s="34"/>
      <c r="K24" s="34">
        <v>0</v>
      </c>
      <c r="L24" s="34">
        <f>J24-K24</f>
        <v>0</v>
      </c>
    </row>
    <row r="25" spans="1:12" x14ac:dyDescent="0.25">
      <c r="A25" s="1" t="s">
        <v>26</v>
      </c>
      <c r="B25" s="16" t="s">
        <v>83</v>
      </c>
      <c r="C25" s="16">
        <v>0.1</v>
      </c>
      <c r="D25" s="32">
        <f>+$E$5*C25</f>
        <v>4168471</v>
      </c>
      <c r="E25" s="35"/>
      <c r="F25" s="35"/>
      <c r="G25" s="65"/>
      <c r="I25" s="35"/>
      <c r="J25" s="35"/>
      <c r="K25" s="35"/>
      <c r="L25" s="35"/>
    </row>
    <row r="26" spans="1:12" x14ac:dyDescent="0.25">
      <c r="B26" s="16" t="s">
        <v>84</v>
      </c>
      <c r="C26" s="16">
        <v>0.05</v>
      </c>
      <c r="D26" s="32">
        <f>+$E$5*C26</f>
        <v>2084235.5</v>
      </c>
      <c r="E26" s="35"/>
      <c r="F26" s="35"/>
      <c r="G26" s="65"/>
      <c r="I26" s="35"/>
      <c r="J26" s="35"/>
      <c r="K26" s="35"/>
      <c r="L26" s="35"/>
    </row>
    <row r="27" spans="1:12" x14ac:dyDescent="0.25">
      <c r="B27" s="19" t="s">
        <v>28</v>
      </c>
      <c r="C27" s="15"/>
      <c r="D27" s="37"/>
      <c r="E27" s="33">
        <f>SUM(D25:D26)</f>
        <v>6252706.5</v>
      </c>
      <c r="F27" s="38"/>
      <c r="G27" s="65"/>
      <c r="I27" s="35"/>
      <c r="J27" s="33"/>
      <c r="K27" s="33">
        <v>0</v>
      </c>
      <c r="L27" s="33">
        <f>J27-K27</f>
        <v>0</v>
      </c>
    </row>
    <row r="28" spans="1:12" x14ac:dyDescent="0.25">
      <c r="B28" s="19"/>
      <c r="C28" s="15"/>
      <c r="D28" s="70" t="s">
        <v>201</v>
      </c>
      <c r="E28" s="34">
        <f>E27*12%</f>
        <v>750324.78</v>
      </c>
      <c r="F28" s="38"/>
      <c r="G28" s="65"/>
      <c r="I28" s="35"/>
      <c r="J28" s="34"/>
      <c r="K28" s="34">
        <v>0</v>
      </c>
      <c r="L28" s="34">
        <f>J28-K28</f>
        <v>0</v>
      </c>
    </row>
    <row r="29" spans="1:12" x14ac:dyDescent="0.25">
      <c r="B29" s="19"/>
      <c r="C29" s="15"/>
      <c r="D29" s="70" t="s">
        <v>202</v>
      </c>
      <c r="E29" s="72">
        <f>-E27*4.5%</f>
        <v>-281371.79249999998</v>
      </c>
      <c r="F29" s="38"/>
      <c r="G29" s="65"/>
      <c r="I29" s="35"/>
      <c r="J29" s="72"/>
      <c r="K29" s="72">
        <v>0</v>
      </c>
      <c r="L29" s="72">
        <f>J29-K29</f>
        <v>0</v>
      </c>
    </row>
    <row r="30" spans="1:12" x14ac:dyDescent="0.25">
      <c r="B30" s="19"/>
      <c r="C30" s="15"/>
      <c r="D30" s="70" t="s">
        <v>41</v>
      </c>
      <c r="E30" s="34">
        <f>SUM(E27:E29)</f>
        <v>6721659.4875000007</v>
      </c>
      <c r="F30" s="38"/>
      <c r="G30" s="65"/>
      <c r="I30" s="35"/>
      <c r="J30" s="34"/>
      <c r="K30" s="34">
        <v>0</v>
      </c>
      <c r="L30" s="34">
        <f>J30-K30</f>
        <v>0</v>
      </c>
    </row>
    <row r="31" spans="1:12" x14ac:dyDescent="0.25">
      <c r="B31" s="20" t="s">
        <v>85</v>
      </c>
      <c r="C31" s="16"/>
      <c r="D31" s="35"/>
      <c r="E31" s="35"/>
      <c r="F31" s="35"/>
      <c r="G31" s="65"/>
      <c r="I31" s="35"/>
      <c r="J31" s="35"/>
      <c r="K31" s="35"/>
      <c r="L31" s="35"/>
    </row>
    <row r="32" spans="1:12" x14ac:dyDescent="0.25">
      <c r="A32" s="1" t="s">
        <v>29</v>
      </c>
      <c r="B32" s="13" t="s">
        <v>86</v>
      </c>
      <c r="C32" s="16">
        <v>0.1</v>
      </c>
      <c r="D32" s="32">
        <f>+$E$5*C32</f>
        <v>4168471</v>
      </c>
      <c r="E32" s="35"/>
      <c r="F32" s="35"/>
      <c r="G32" s="65"/>
      <c r="I32" s="35"/>
      <c r="J32" s="35"/>
      <c r="K32" s="35"/>
      <c r="L32" s="35"/>
    </row>
    <row r="33" spans="1:12" x14ac:dyDescent="0.25">
      <c r="B33" s="13" t="s">
        <v>87</v>
      </c>
      <c r="C33" s="16"/>
      <c r="D33" s="32"/>
      <c r="E33" s="35"/>
      <c r="F33" s="35"/>
      <c r="G33" s="65"/>
      <c r="I33" s="35"/>
      <c r="J33" s="35"/>
      <c r="K33" s="35"/>
      <c r="L33" s="35"/>
    </row>
    <row r="34" spans="1:12" x14ac:dyDescent="0.25">
      <c r="B34" s="13" t="s">
        <v>59</v>
      </c>
      <c r="C34" s="16"/>
      <c r="D34" s="32"/>
      <c r="E34" s="35"/>
      <c r="F34" s="35"/>
      <c r="G34" s="65"/>
      <c r="I34" s="35"/>
      <c r="J34" s="35"/>
      <c r="K34" s="35"/>
      <c r="L34" s="35"/>
    </row>
    <row r="35" spans="1:12" x14ac:dyDescent="0.25">
      <c r="B35" s="20" t="s">
        <v>90</v>
      </c>
      <c r="C35" s="16"/>
      <c r="D35" s="32"/>
      <c r="E35" s="35"/>
      <c r="F35" s="35"/>
      <c r="G35" s="35"/>
      <c r="I35" s="35"/>
      <c r="J35" s="35"/>
      <c r="K35" s="35"/>
      <c r="L35" s="35"/>
    </row>
    <row r="36" spans="1:12" x14ac:dyDescent="0.25">
      <c r="B36" s="13" t="s">
        <v>91</v>
      </c>
      <c r="C36" s="16"/>
      <c r="D36" s="32">
        <f>+$E$5*C36</f>
        <v>0</v>
      </c>
      <c r="E36" s="35"/>
      <c r="F36" s="35"/>
      <c r="G36" s="18"/>
      <c r="I36" s="35"/>
      <c r="J36" s="35"/>
      <c r="K36" s="35"/>
      <c r="L36" s="35"/>
    </row>
    <row r="37" spans="1:12" x14ac:dyDescent="0.25">
      <c r="B37" s="20" t="s">
        <v>31</v>
      </c>
      <c r="C37" s="15"/>
      <c r="D37" s="38"/>
      <c r="E37" s="33">
        <f>SUM(D32:D36)</f>
        <v>4168471</v>
      </c>
      <c r="F37" s="38"/>
      <c r="G37" s="38"/>
      <c r="I37" s="35"/>
      <c r="J37" s="33"/>
      <c r="K37" s="33">
        <v>0</v>
      </c>
      <c r="L37" s="33">
        <f>J37-K37</f>
        <v>0</v>
      </c>
    </row>
    <row r="38" spans="1:12" x14ac:dyDescent="0.25">
      <c r="B38" s="20"/>
      <c r="C38" s="15"/>
      <c r="D38" s="70" t="s">
        <v>201</v>
      </c>
      <c r="E38" s="34">
        <f>E37*12%</f>
        <v>500216.51999999996</v>
      </c>
      <c r="F38" s="38"/>
      <c r="G38" s="38"/>
      <c r="I38" s="35"/>
      <c r="J38" s="34"/>
      <c r="K38" s="34">
        <v>0</v>
      </c>
      <c r="L38" s="34">
        <f>J38-K38</f>
        <v>0</v>
      </c>
    </row>
    <row r="39" spans="1:12" x14ac:dyDescent="0.25">
      <c r="B39" s="20"/>
      <c r="C39" s="15"/>
      <c r="D39" s="70" t="s">
        <v>202</v>
      </c>
      <c r="E39" s="72">
        <f>-E37*4.5%</f>
        <v>-187581.19500000001</v>
      </c>
      <c r="F39" s="38"/>
      <c r="G39" s="38"/>
      <c r="I39" s="35"/>
      <c r="J39" s="72"/>
      <c r="K39" s="72">
        <v>0</v>
      </c>
      <c r="L39" s="72">
        <f>J39-K39</f>
        <v>0</v>
      </c>
    </row>
    <row r="40" spans="1:12" x14ac:dyDescent="0.25">
      <c r="B40" s="20"/>
      <c r="C40" s="15"/>
      <c r="D40" s="70" t="s">
        <v>41</v>
      </c>
      <c r="E40" s="34">
        <f>SUM(E37:E39)</f>
        <v>4481106.3249999993</v>
      </c>
      <c r="F40" s="38"/>
      <c r="G40" s="38"/>
      <c r="I40" s="35"/>
      <c r="J40" s="34"/>
      <c r="K40" s="34">
        <v>0</v>
      </c>
      <c r="L40" s="34">
        <f>J40-K40</f>
        <v>0</v>
      </c>
    </row>
    <row r="41" spans="1:12" x14ac:dyDescent="0.25">
      <c r="B41" s="20" t="s">
        <v>92</v>
      </c>
      <c r="C41" s="16"/>
      <c r="D41" s="35"/>
      <c r="E41" s="35"/>
      <c r="F41" s="35"/>
      <c r="G41" s="35"/>
      <c r="I41" s="35"/>
      <c r="J41" s="35"/>
      <c r="K41" s="35"/>
      <c r="L41" s="35"/>
    </row>
    <row r="42" spans="1:12" x14ac:dyDescent="0.25">
      <c r="A42" s="1" t="s">
        <v>32</v>
      </c>
      <c r="B42" s="13" t="s">
        <v>94</v>
      </c>
      <c r="C42" s="16">
        <v>0.1</v>
      </c>
      <c r="D42" s="32">
        <f>+$E$5*C42</f>
        <v>4168471</v>
      </c>
      <c r="E42" s="35"/>
      <c r="F42" s="35"/>
      <c r="G42" s="18"/>
      <c r="I42" s="35"/>
      <c r="J42" s="35"/>
      <c r="K42" s="35"/>
      <c r="L42" s="35"/>
    </row>
    <row r="43" spans="1:12" x14ac:dyDescent="0.25">
      <c r="B43" s="13" t="s">
        <v>59</v>
      </c>
      <c r="C43" s="16"/>
      <c r="D43" s="32">
        <f>+$E$5*C43</f>
        <v>0</v>
      </c>
      <c r="E43" s="35"/>
      <c r="F43" s="35"/>
      <c r="G43" s="18"/>
      <c r="I43" s="35"/>
      <c r="J43" s="35"/>
      <c r="K43" s="35"/>
      <c r="L43" s="35"/>
    </row>
    <row r="44" spans="1:12" x14ac:dyDescent="0.25">
      <c r="B44" s="20" t="s">
        <v>33</v>
      </c>
      <c r="C44" s="16"/>
      <c r="D44" s="35"/>
      <c r="E44" s="35"/>
      <c r="F44" s="35"/>
      <c r="G44" s="35"/>
      <c r="I44" s="35"/>
      <c r="J44" s="35"/>
      <c r="K44" s="35"/>
      <c r="L44" s="35"/>
    </row>
    <row r="45" spans="1:12" x14ac:dyDescent="0.25">
      <c r="B45" s="13" t="s">
        <v>97</v>
      </c>
      <c r="C45" s="16"/>
      <c r="D45" s="32">
        <f>+$E$5*C45</f>
        <v>0</v>
      </c>
      <c r="E45" s="35"/>
      <c r="F45" s="35"/>
      <c r="G45" s="18"/>
      <c r="I45" s="35"/>
      <c r="J45" s="35"/>
      <c r="K45" s="35"/>
      <c r="L45" s="35"/>
    </row>
    <row r="46" spans="1:12" x14ac:dyDescent="0.25">
      <c r="B46" s="20" t="s">
        <v>98</v>
      </c>
      <c r="C46" s="16"/>
      <c r="D46" s="35"/>
      <c r="E46" s="35"/>
      <c r="F46" s="35"/>
      <c r="G46" s="35"/>
      <c r="I46" s="35"/>
      <c r="J46" s="35"/>
      <c r="K46" s="35"/>
      <c r="L46" s="35"/>
    </row>
    <row r="47" spans="1:12" x14ac:dyDescent="0.25">
      <c r="B47" s="13" t="s">
        <v>99</v>
      </c>
      <c r="C47" s="16"/>
      <c r="D47" s="32">
        <f t="shared" ref="D47:D52" si="0">+$E$5*C47</f>
        <v>0</v>
      </c>
      <c r="E47" s="35"/>
      <c r="F47" s="35"/>
      <c r="G47" s="18"/>
      <c r="I47" s="35"/>
      <c r="J47" s="35"/>
      <c r="K47" s="35"/>
      <c r="L47" s="35"/>
    </row>
    <row r="48" spans="1:12" x14ac:dyDescent="0.25">
      <c r="B48" s="13" t="s">
        <v>100</v>
      </c>
      <c r="C48" s="16"/>
      <c r="D48" s="32">
        <f t="shared" si="0"/>
        <v>0</v>
      </c>
      <c r="E48" s="35"/>
      <c r="F48" s="35"/>
      <c r="G48" s="18"/>
      <c r="I48" s="35"/>
      <c r="J48" s="35"/>
      <c r="K48" s="35"/>
      <c r="L48" s="35"/>
    </row>
    <row r="49" spans="1:12" x14ac:dyDescent="0.25">
      <c r="B49" s="13" t="s">
        <v>101</v>
      </c>
      <c r="C49" s="16"/>
      <c r="D49" s="32">
        <f t="shared" si="0"/>
        <v>0</v>
      </c>
      <c r="E49" s="35"/>
      <c r="F49" s="35"/>
      <c r="G49" s="18"/>
      <c r="I49" s="35"/>
      <c r="J49" s="35"/>
      <c r="K49" s="35"/>
      <c r="L49" s="35"/>
    </row>
    <row r="50" spans="1:12" x14ac:dyDescent="0.25">
      <c r="B50" s="13" t="s">
        <v>102</v>
      </c>
      <c r="C50" s="16"/>
      <c r="D50" s="32">
        <f t="shared" si="0"/>
        <v>0</v>
      </c>
      <c r="E50" s="35"/>
      <c r="F50" s="35"/>
      <c r="G50" s="18"/>
      <c r="I50" s="35"/>
      <c r="J50" s="35"/>
      <c r="K50" s="35"/>
      <c r="L50" s="35"/>
    </row>
    <row r="51" spans="1:12" x14ac:dyDescent="0.25">
      <c r="B51" s="13" t="s">
        <v>103</v>
      </c>
      <c r="C51" s="16"/>
      <c r="D51" s="32">
        <f t="shared" si="0"/>
        <v>0</v>
      </c>
      <c r="E51" s="35"/>
      <c r="F51" s="35"/>
      <c r="G51" s="18"/>
      <c r="I51" s="35"/>
      <c r="J51" s="35"/>
      <c r="K51" s="35"/>
      <c r="L51" s="35"/>
    </row>
    <row r="52" spans="1:12" x14ac:dyDescent="0.25">
      <c r="B52" s="13" t="s">
        <v>104</v>
      </c>
      <c r="C52" s="16"/>
      <c r="D52" s="32">
        <f t="shared" si="0"/>
        <v>0</v>
      </c>
      <c r="E52" s="35"/>
      <c r="F52" s="35"/>
      <c r="G52" s="18"/>
      <c r="I52" s="35"/>
      <c r="J52" s="35"/>
      <c r="K52" s="35"/>
      <c r="L52" s="35"/>
    </row>
    <row r="53" spans="1:12" x14ac:dyDescent="0.25">
      <c r="B53" s="20" t="s">
        <v>34</v>
      </c>
      <c r="C53" s="16"/>
      <c r="D53" s="35"/>
      <c r="E53" s="33">
        <f>SUM(D42:D52)</f>
        <v>4168471</v>
      </c>
      <c r="F53" s="38"/>
      <c r="G53" s="38"/>
      <c r="I53" s="35"/>
      <c r="J53" s="33"/>
      <c r="K53" s="33">
        <v>0</v>
      </c>
      <c r="L53" s="33">
        <f>J53-K53</f>
        <v>0</v>
      </c>
    </row>
    <row r="54" spans="1:12" x14ac:dyDescent="0.25">
      <c r="B54" s="20"/>
      <c r="C54" s="16"/>
      <c r="D54" s="70" t="s">
        <v>201</v>
      </c>
      <c r="E54" s="34">
        <f>E53*12%</f>
        <v>500216.51999999996</v>
      </c>
      <c r="F54" s="38"/>
      <c r="G54" s="38"/>
      <c r="I54" s="35"/>
      <c r="J54" s="34"/>
      <c r="K54" s="34">
        <v>0</v>
      </c>
      <c r="L54" s="34">
        <f>J54-K54</f>
        <v>0</v>
      </c>
    </row>
    <row r="55" spans="1:12" x14ac:dyDescent="0.25">
      <c r="B55" s="20"/>
      <c r="C55" s="16"/>
      <c r="D55" s="70" t="s">
        <v>202</v>
      </c>
      <c r="E55" s="72">
        <f>-E53*4.5%</f>
        <v>-187581.19500000001</v>
      </c>
      <c r="F55" s="38"/>
      <c r="G55" s="38"/>
      <c r="I55" s="35"/>
      <c r="J55" s="72"/>
      <c r="K55" s="72">
        <v>0</v>
      </c>
      <c r="L55" s="72">
        <f>J55-K55</f>
        <v>0</v>
      </c>
    </row>
    <row r="56" spans="1:12" x14ac:dyDescent="0.25">
      <c r="B56" s="20"/>
      <c r="C56" s="16"/>
      <c r="D56" s="70" t="s">
        <v>41</v>
      </c>
      <c r="E56" s="34">
        <f>SUM(E53:E55)</f>
        <v>4481106.3249999993</v>
      </c>
      <c r="F56" s="38"/>
      <c r="G56" s="38"/>
      <c r="I56" s="35"/>
      <c r="J56" s="34"/>
      <c r="K56" s="34">
        <v>0</v>
      </c>
      <c r="L56" s="34">
        <f>J56-K56</f>
        <v>0</v>
      </c>
    </row>
    <row r="57" spans="1:12" x14ac:dyDescent="0.25">
      <c r="B57" s="20" t="s">
        <v>105</v>
      </c>
      <c r="C57" s="16"/>
      <c r="D57" s="35"/>
      <c r="E57" s="35"/>
      <c r="F57" s="35"/>
      <c r="G57" s="35"/>
      <c r="I57" s="35"/>
      <c r="J57" s="35"/>
      <c r="K57" s="35"/>
      <c r="L57" s="35"/>
    </row>
    <row r="58" spans="1:12" ht="30" x14ac:dyDescent="0.25">
      <c r="A58" s="1" t="s">
        <v>35</v>
      </c>
      <c r="B58" s="21" t="s">
        <v>199</v>
      </c>
      <c r="C58" s="16">
        <v>0.03</v>
      </c>
      <c r="D58" s="32">
        <f>+$E$5*C58</f>
        <v>1250541.3</v>
      </c>
      <c r="E58" s="35"/>
      <c r="F58" s="35"/>
      <c r="G58" s="18"/>
      <c r="I58" s="35"/>
      <c r="J58" s="35"/>
      <c r="K58" s="35"/>
      <c r="L58" s="35"/>
    </row>
    <row r="59" spans="1:12" ht="30" x14ac:dyDescent="0.25">
      <c r="B59" s="21" t="s">
        <v>106</v>
      </c>
      <c r="C59" s="16">
        <v>0.01</v>
      </c>
      <c r="D59" s="32">
        <f>+$E$5*C59</f>
        <v>416847.10000000003</v>
      </c>
      <c r="E59" s="35"/>
      <c r="F59" s="35"/>
      <c r="G59" s="18"/>
      <c r="I59" s="35"/>
      <c r="J59" s="35"/>
      <c r="K59" s="35"/>
      <c r="L59" s="35"/>
    </row>
    <row r="60" spans="1:12" ht="30" x14ac:dyDescent="0.25">
      <c r="B60" s="21" t="s">
        <v>107</v>
      </c>
      <c r="C60" s="16">
        <v>0.01</v>
      </c>
      <c r="D60" s="32">
        <f>+$E$5*C60</f>
        <v>416847.10000000003</v>
      </c>
      <c r="E60" s="35"/>
      <c r="F60" s="35"/>
      <c r="G60" s="18"/>
      <c r="I60" s="35"/>
      <c r="J60" s="35"/>
      <c r="K60" s="35"/>
      <c r="L60" s="35"/>
    </row>
    <row r="61" spans="1:12" x14ac:dyDescent="0.25">
      <c r="B61" s="1" t="s">
        <v>37</v>
      </c>
      <c r="C61" s="16"/>
      <c r="D61" s="35"/>
      <c r="E61" s="33">
        <f>SUM(D58:D60)</f>
        <v>2084235.5000000002</v>
      </c>
      <c r="F61" s="38"/>
      <c r="G61" s="38"/>
      <c r="I61" s="35"/>
      <c r="J61" s="33"/>
      <c r="K61" s="33">
        <v>0</v>
      </c>
      <c r="L61" s="33">
        <f>J61-K61</f>
        <v>0</v>
      </c>
    </row>
    <row r="62" spans="1:12" x14ac:dyDescent="0.25">
      <c r="B62" s="1"/>
      <c r="C62" s="16"/>
      <c r="D62" s="70" t="s">
        <v>201</v>
      </c>
      <c r="E62" s="34">
        <f>E61*12%</f>
        <v>250108.26</v>
      </c>
      <c r="F62" s="38"/>
      <c r="G62" s="38"/>
      <c r="I62" s="35"/>
      <c r="J62" s="34"/>
      <c r="K62" s="34">
        <v>0</v>
      </c>
      <c r="L62" s="34">
        <f>J62-K62</f>
        <v>0</v>
      </c>
    </row>
    <row r="63" spans="1:12" x14ac:dyDescent="0.25">
      <c r="B63" s="1"/>
      <c r="C63" s="16"/>
      <c r="D63" s="70" t="s">
        <v>202</v>
      </c>
      <c r="E63" s="72">
        <f>-E61*4.5%</f>
        <v>-93790.597500000003</v>
      </c>
      <c r="F63" s="38"/>
      <c r="G63" s="38"/>
      <c r="I63" s="35"/>
      <c r="J63" s="72"/>
      <c r="K63" s="72">
        <v>0</v>
      </c>
      <c r="L63" s="72">
        <f>J63-K63</f>
        <v>0</v>
      </c>
    </row>
    <row r="64" spans="1:12" x14ac:dyDescent="0.25">
      <c r="B64" s="1"/>
      <c r="C64" s="16"/>
      <c r="D64" s="70" t="s">
        <v>41</v>
      </c>
      <c r="E64" s="34">
        <f>SUM(E61:E63)</f>
        <v>2240553.1625000001</v>
      </c>
      <c r="F64" s="38"/>
      <c r="G64" s="38"/>
      <c r="I64" s="35"/>
      <c r="J64" s="34"/>
      <c r="K64" s="34">
        <v>0</v>
      </c>
      <c r="L64" s="34">
        <f>J64-K64</f>
        <v>0</v>
      </c>
    </row>
    <row r="65" spans="1:12" x14ac:dyDescent="0.25">
      <c r="B65" s="1" t="s">
        <v>92</v>
      </c>
      <c r="C65" s="16"/>
      <c r="D65" s="35"/>
      <c r="E65" s="35"/>
      <c r="F65" s="35"/>
      <c r="G65" s="35"/>
      <c r="I65" s="35"/>
      <c r="J65" s="35"/>
      <c r="K65" s="35"/>
      <c r="L65" s="35"/>
    </row>
    <row r="66" spans="1:12" x14ac:dyDescent="0.25">
      <c r="A66" s="1" t="s">
        <v>38</v>
      </c>
      <c r="B66" t="s">
        <v>108</v>
      </c>
      <c r="C66" s="16">
        <v>5.0000000000000001E-3</v>
      </c>
      <c r="D66" s="32">
        <f>+$E$5*C66</f>
        <v>208423.55000000002</v>
      </c>
      <c r="E66" s="35"/>
      <c r="F66" s="35"/>
      <c r="G66" s="35"/>
      <c r="I66" s="35"/>
      <c r="J66" s="35"/>
      <c r="K66" s="35"/>
      <c r="L66" s="35"/>
    </row>
    <row r="67" spans="1:12" x14ac:dyDescent="0.25">
      <c r="B67" t="s">
        <v>109</v>
      </c>
      <c r="C67" s="16">
        <v>5.0000000000000001E-3</v>
      </c>
      <c r="D67" s="32">
        <f>+$E$5*C67</f>
        <v>208423.55000000002</v>
      </c>
      <c r="E67" s="35"/>
      <c r="F67" s="35"/>
      <c r="G67" s="35"/>
      <c r="I67" s="35"/>
      <c r="J67" s="35"/>
      <c r="K67" s="35"/>
      <c r="L67" s="35"/>
    </row>
    <row r="68" spans="1:12" x14ac:dyDescent="0.25">
      <c r="B68" s="1" t="s">
        <v>90</v>
      </c>
      <c r="C68" s="16"/>
      <c r="D68" s="35"/>
      <c r="E68" s="35"/>
      <c r="F68" s="35"/>
      <c r="G68" s="35"/>
      <c r="I68" s="35"/>
      <c r="J68" s="35"/>
      <c r="K68" s="35"/>
      <c r="L68" s="35"/>
    </row>
    <row r="69" spans="1:12" x14ac:dyDescent="0.25">
      <c r="B69" t="s">
        <v>110</v>
      </c>
      <c r="C69" s="16">
        <v>5.0000000000000001E-3</v>
      </c>
      <c r="D69" s="32">
        <f>+$E$5*C69</f>
        <v>208423.55000000002</v>
      </c>
      <c r="E69" s="35"/>
      <c r="F69" s="35"/>
      <c r="G69" s="35"/>
      <c r="I69" s="35"/>
      <c r="J69" s="35"/>
      <c r="K69" s="35"/>
      <c r="L69" s="35"/>
    </row>
    <row r="70" spans="1:12" x14ac:dyDescent="0.25">
      <c r="B70" t="s">
        <v>111</v>
      </c>
      <c r="C70" s="16">
        <v>5.0000000000000001E-3</v>
      </c>
      <c r="D70" s="32">
        <f>+$E$5*C70</f>
        <v>208423.55000000002</v>
      </c>
      <c r="E70" s="35"/>
      <c r="F70" s="35"/>
      <c r="G70" s="35"/>
      <c r="I70" s="35"/>
      <c r="J70" s="35"/>
      <c r="K70" s="35"/>
      <c r="L70" s="35"/>
    </row>
    <row r="71" spans="1:12" x14ac:dyDescent="0.25">
      <c r="B71" s="1" t="s">
        <v>112</v>
      </c>
      <c r="C71" s="16"/>
      <c r="D71" s="35"/>
      <c r="E71" s="35"/>
      <c r="F71" s="35"/>
      <c r="G71" s="35"/>
      <c r="I71" s="35"/>
      <c r="J71" s="35"/>
      <c r="K71" s="35"/>
      <c r="L71" s="35"/>
    </row>
    <row r="72" spans="1:12" x14ac:dyDescent="0.25">
      <c r="B72" t="s">
        <v>99</v>
      </c>
      <c r="C72" s="16">
        <v>5.0000000000000001E-3</v>
      </c>
      <c r="D72" s="32">
        <f t="shared" ref="D72:D77" si="1">+$E$5*C72</f>
        <v>208423.55000000002</v>
      </c>
      <c r="E72" s="35"/>
      <c r="F72" s="35"/>
      <c r="G72" s="35"/>
      <c r="I72" s="35"/>
      <c r="J72" s="35"/>
      <c r="K72" s="35"/>
      <c r="L72" s="35"/>
    </row>
    <row r="73" spans="1:12" x14ac:dyDescent="0.25">
      <c r="B73" t="s">
        <v>100</v>
      </c>
      <c r="C73" s="16">
        <v>5.0000000000000001E-3</v>
      </c>
      <c r="D73" s="32">
        <f t="shared" si="1"/>
        <v>208423.55000000002</v>
      </c>
      <c r="E73" s="35"/>
      <c r="F73" s="35"/>
      <c r="G73" s="35"/>
      <c r="I73" s="35"/>
      <c r="J73" s="35"/>
      <c r="K73" s="35"/>
      <c r="L73" s="35"/>
    </row>
    <row r="74" spans="1:12" x14ac:dyDescent="0.25">
      <c r="B74" t="s">
        <v>101</v>
      </c>
      <c r="C74" s="16">
        <v>5.0000000000000001E-3</v>
      </c>
      <c r="D74" s="32">
        <f t="shared" si="1"/>
        <v>208423.55000000002</v>
      </c>
      <c r="E74" s="35"/>
      <c r="F74" s="35"/>
      <c r="G74" s="35"/>
      <c r="I74" s="35"/>
      <c r="J74" s="35"/>
      <c r="K74" s="35"/>
      <c r="L74" s="35"/>
    </row>
    <row r="75" spans="1:12" x14ac:dyDescent="0.25">
      <c r="B75" t="s">
        <v>102</v>
      </c>
      <c r="C75" s="16">
        <v>5.0000000000000001E-3</v>
      </c>
      <c r="D75" s="32">
        <f t="shared" si="1"/>
        <v>208423.55000000002</v>
      </c>
      <c r="E75" s="35"/>
      <c r="F75" s="35"/>
      <c r="G75" s="35"/>
      <c r="I75" s="35"/>
      <c r="J75" s="35"/>
      <c r="K75" s="35"/>
      <c r="L75" s="35"/>
    </row>
    <row r="76" spans="1:12" x14ac:dyDescent="0.25">
      <c r="B76" t="s">
        <v>103</v>
      </c>
      <c r="C76" s="16">
        <v>5.0000000000000001E-3</v>
      </c>
      <c r="D76" s="32">
        <f t="shared" si="1"/>
        <v>208423.55000000002</v>
      </c>
      <c r="E76" s="35"/>
      <c r="F76" s="35"/>
      <c r="G76" s="35"/>
      <c r="I76" s="35"/>
      <c r="J76" s="35"/>
      <c r="K76" s="35"/>
      <c r="L76" s="35"/>
    </row>
    <row r="77" spans="1:12" x14ac:dyDescent="0.25">
      <c r="B77" t="s">
        <v>104</v>
      </c>
      <c r="C77" s="16">
        <v>5.0000000000000001E-3</v>
      </c>
      <c r="D77" s="32">
        <f t="shared" si="1"/>
        <v>208423.55000000002</v>
      </c>
      <c r="E77" s="35"/>
      <c r="F77" s="35"/>
      <c r="G77" s="35"/>
      <c r="I77" s="35"/>
      <c r="J77" s="35"/>
      <c r="K77" s="35"/>
      <c r="L77" s="35"/>
    </row>
    <row r="78" spans="1:12" x14ac:dyDescent="0.25">
      <c r="B78" s="1" t="s">
        <v>40</v>
      </c>
      <c r="C78" s="16"/>
      <c r="D78" s="35"/>
      <c r="E78" s="33">
        <f>SUM(D66:D77)</f>
        <v>2084235.5000000002</v>
      </c>
      <c r="F78" s="38"/>
      <c r="G78" s="38"/>
      <c r="I78" s="35"/>
      <c r="J78" s="33"/>
      <c r="K78" s="33">
        <v>0</v>
      </c>
      <c r="L78" s="33">
        <f>J78-K78</f>
        <v>0</v>
      </c>
    </row>
    <row r="79" spans="1:12" x14ac:dyDescent="0.25">
      <c r="B79" s="1"/>
      <c r="C79" s="16"/>
      <c r="D79" s="70" t="s">
        <v>201</v>
      </c>
      <c r="E79" s="34">
        <f>E78*12%</f>
        <v>250108.26</v>
      </c>
      <c r="F79" s="38"/>
      <c r="G79" s="38"/>
      <c r="I79" s="35"/>
      <c r="J79" s="34"/>
      <c r="K79" s="34">
        <v>0</v>
      </c>
      <c r="L79" s="34">
        <f>J79-K79</f>
        <v>0</v>
      </c>
    </row>
    <row r="80" spans="1:12" x14ac:dyDescent="0.25">
      <c r="B80" s="1"/>
      <c r="C80" s="16"/>
      <c r="D80" s="70" t="s">
        <v>202</v>
      </c>
      <c r="E80" s="72">
        <f>-E78*4.5%</f>
        <v>-93790.597500000003</v>
      </c>
      <c r="F80" s="38"/>
      <c r="G80" s="38"/>
      <c r="I80" s="35"/>
      <c r="J80" s="72"/>
      <c r="K80" s="72">
        <v>0</v>
      </c>
      <c r="L80" s="72">
        <f>J80-K80</f>
        <v>0</v>
      </c>
    </row>
    <row r="81" spans="1:12" x14ac:dyDescent="0.25">
      <c r="B81" s="1"/>
      <c r="C81" s="16"/>
      <c r="D81" s="70" t="s">
        <v>41</v>
      </c>
      <c r="E81" s="34">
        <f>SUM(E78:E80)</f>
        <v>2240553.1625000001</v>
      </c>
      <c r="F81" s="38"/>
      <c r="G81" s="38"/>
      <c r="I81" s="35"/>
      <c r="J81" s="34"/>
      <c r="K81" s="34">
        <v>0</v>
      </c>
      <c r="L81" s="34">
        <f>J81-K81</f>
        <v>0</v>
      </c>
    </row>
    <row r="82" spans="1:12" x14ac:dyDescent="0.25">
      <c r="B82" s="1" t="s">
        <v>39</v>
      </c>
      <c r="C82" s="16"/>
      <c r="D82" s="35"/>
      <c r="E82" s="35"/>
      <c r="F82" s="35"/>
      <c r="G82" s="35"/>
      <c r="I82" s="35"/>
      <c r="J82" s="35"/>
      <c r="K82" s="35"/>
      <c r="L82" s="35"/>
    </row>
    <row r="83" spans="1:12" ht="30" x14ac:dyDescent="0.25">
      <c r="A83" s="1" t="s">
        <v>113</v>
      </c>
      <c r="B83" s="21" t="s">
        <v>114</v>
      </c>
      <c r="C83" s="16">
        <v>0.01</v>
      </c>
      <c r="D83" s="32">
        <f>+$E$5*C83</f>
        <v>416847.10000000003</v>
      </c>
      <c r="E83" s="35"/>
      <c r="F83" s="35"/>
      <c r="G83" s="35"/>
      <c r="I83" s="35"/>
      <c r="J83" s="35"/>
      <c r="K83" s="35"/>
      <c r="L83" s="35"/>
    </row>
    <row r="84" spans="1:12" ht="30" x14ac:dyDescent="0.25">
      <c r="B84" s="21" t="s">
        <v>116</v>
      </c>
      <c r="C84" s="16">
        <v>0.01</v>
      </c>
      <c r="D84" s="32">
        <f>+$E$5*C84</f>
        <v>416847.10000000003</v>
      </c>
      <c r="E84" s="35"/>
      <c r="F84" s="35"/>
      <c r="G84" s="35"/>
      <c r="I84" s="35"/>
      <c r="J84" s="35"/>
      <c r="K84" s="35"/>
      <c r="L84" s="35"/>
    </row>
    <row r="85" spans="1:12" ht="45" x14ac:dyDescent="0.25">
      <c r="B85" s="21" t="s">
        <v>117</v>
      </c>
      <c r="C85" s="16">
        <v>0.01</v>
      </c>
      <c r="D85" s="32">
        <f>+$E$5*C85</f>
        <v>416847.10000000003</v>
      </c>
      <c r="E85" s="35"/>
      <c r="F85" s="35"/>
      <c r="G85" s="35"/>
      <c r="I85" s="35"/>
      <c r="J85" s="35"/>
      <c r="K85" s="35"/>
      <c r="L85" s="35"/>
    </row>
    <row r="86" spans="1:12" x14ac:dyDescent="0.25">
      <c r="B86" s="54" t="s">
        <v>118</v>
      </c>
      <c r="C86" s="16">
        <v>0.01</v>
      </c>
      <c r="D86" s="32">
        <f>+$E$5*C86</f>
        <v>416847.10000000003</v>
      </c>
      <c r="E86" s="35"/>
      <c r="F86" s="35"/>
      <c r="G86" s="35"/>
      <c r="I86" s="35"/>
      <c r="J86" s="35"/>
      <c r="K86" s="35"/>
      <c r="L86" s="35"/>
    </row>
    <row r="87" spans="1:12" x14ac:dyDescent="0.25">
      <c r="B87" s="54" t="s">
        <v>119</v>
      </c>
      <c r="C87" s="16">
        <v>0.01</v>
      </c>
      <c r="D87" s="32">
        <f>+$E$5*C87</f>
        <v>416847.10000000003</v>
      </c>
      <c r="E87" s="35"/>
      <c r="F87" s="35"/>
      <c r="G87" s="35"/>
      <c r="I87" s="35"/>
      <c r="J87" s="35"/>
      <c r="K87" s="35"/>
      <c r="L87" s="35"/>
    </row>
    <row r="88" spans="1:12" x14ac:dyDescent="0.25">
      <c r="B88" s="1" t="s">
        <v>120</v>
      </c>
      <c r="D88" s="35"/>
      <c r="E88" s="33">
        <f>SUM(D83:D87)</f>
        <v>2084235.5000000002</v>
      </c>
      <c r="F88" s="38"/>
      <c r="G88" s="38"/>
      <c r="I88" s="35"/>
      <c r="J88" s="33"/>
      <c r="K88" s="33">
        <v>0</v>
      </c>
      <c r="L88" s="33">
        <f>J88-K88</f>
        <v>0</v>
      </c>
    </row>
    <row r="89" spans="1:12" x14ac:dyDescent="0.25">
      <c r="B89" s="1"/>
      <c r="D89" s="70" t="s">
        <v>201</v>
      </c>
      <c r="E89" s="34">
        <f>E88*12%</f>
        <v>250108.26</v>
      </c>
      <c r="F89" s="38"/>
      <c r="G89" s="38"/>
      <c r="I89" s="35"/>
      <c r="J89" s="34"/>
      <c r="K89" s="34">
        <v>0</v>
      </c>
      <c r="L89" s="34">
        <f>J89-K89</f>
        <v>0</v>
      </c>
    </row>
    <row r="90" spans="1:12" x14ac:dyDescent="0.25">
      <c r="B90" s="1"/>
      <c r="D90" s="70" t="s">
        <v>202</v>
      </c>
      <c r="E90" s="72">
        <f>-E88*4.5%</f>
        <v>-93790.597500000003</v>
      </c>
      <c r="F90" s="38"/>
      <c r="G90" s="38"/>
      <c r="I90" s="35"/>
      <c r="J90" s="72"/>
      <c r="K90" s="72">
        <v>0</v>
      </c>
      <c r="L90" s="72">
        <f>J90-K90</f>
        <v>0</v>
      </c>
    </row>
    <row r="91" spans="1:12" x14ac:dyDescent="0.25">
      <c r="B91" s="1"/>
      <c r="D91" s="70" t="s">
        <v>41</v>
      </c>
      <c r="E91" s="34">
        <f>SUM(E88:E90)</f>
        <v>2240553.1625000001</v>
      </c>
      <c r="F91" s="38"/>
      <c r="G91" s="38"/>
      <c r="I91" s="35"/>
      <c r="J91" s="34"/>
      <c r="K91" s="34">
        <v>0</v>
      </c>
      <c r="L91" s="34">
        <f>J91-K91</f>
        <v>0</v>
      </c>
    </row>
    <row r="92" spans="1:12" x14ac:dyDescent="0.25">
      <c r="B92" s="1"/>
      <c r="D92" s="70"/>
      <c r="E92" s="34"/>
      <c r="F92" s="38"/>
      <c r="G92" s="38"/>
      <c r="I92" s="35"/>
      <c r="J92" s="34"/>
      <c r="K92" s="34"/>
      <c r="L92" s="34"/>
    </row>
    <row r="93" spans="1:12" x14ac:dyDescent="0.25">
      <c r="B93" s="74" t="s">
        <v>203</v>
      </c>
      <c r="C93" s="75">
        <f>SUM(C7:C87)</f>
        <v>1</v>
      </c>
      <c r="D93" s="69"/>
      <c r="E93" s="76">
        <f>SUM(E7,E14,E21,E27,E37,E53,E61,E78,E88)</f>
        <v>41684710</v>
      </c>
      <c r="F93" s="40"/>
      <c r="G93" s="40"/>
      <c r="I93" s="35"/>
      <c r="J93" s="76">
        <f t="shared" ref="J93:K95" si="2">SUM(J7,J14,J21,J27,J37,J53,J61,J78,J88)</f>
        <v>14589648.5</v>
      </c>
      <c r="K93" s="76">
        <f t="shared" si="2"/>
        <v>10421177.5</v>
      </c>
      <c r="L93" s="33">
        <f>J93-K93</f>
        <v>4168471</v>
      </c>
    </row>
    <row r="94" spans="1:12" x14ac:dyDescent="0.25">
      <c r="A94" s="1"/>
      <c r="B94" s="80" t="s">
        <v>201</v>
      </c>
      <c r="C94" s="77"/>
      <c r="D94" s="77"/>
      <c r="E94" s="81">
        <f>SUM(E8,E15,E22,E28,E38,E54,E62,E79,E89)</f>
        <v>5002165.1999999993</v>
      </c>
      <c r="J94" s="81">
        <f t="shared" si="2"/>
        <v>1750757.82</v>
      </c>
      <c r="K94" s="81">
        <f t="shared" si="2"/>
        <v>0</v>
      </c>
      <c r="L94" s="34">
        <f>J94-K94</f>
        <v>1750757.82</v>
      </c>
    </row>
    <row r="95" spans="1:12" x14ac:dyDescent="0.25">
      <c r="B95" s="80" t="s">
        <v>202</v>
      </c>
      <c r="C95" s="77"/>
      <c r="D95" s="77"/>
      <c r="E95" s="81">
        <f>SUM(E9,E16,E23,E29,E39,E55,E63,E80,E90)</f>
        <v>-1875811.95</v>
      </c>
      <c r="J95" s="81">
        <f t="shared" si="2"/>
        <v>-656534.1825</v>
      </c>
      <c r="K95" s="81">
        <f t="shared" si="2"/>
        <v>0</v>
      </c>
      <c r="L95" s="72">
        <f>J95-K95</f>
        <v>-656534.1825</v>
      </c>
    </row>
    <row r="96" spans="1:12" x14ac:dyDescent="0.25">
      <c r="B96" s="74" t="s">
        <v>41</v>
      </c>
      <c r="C96" s="77"/>
      <c r="D96" s="77"/>
      <c r="E96" s="78">
        <f>SUM(E93:E95)</f>
        <v>44811063.25</v>
      </c>
      <c r="J96" s="78">
        <f>SUM(J93:J95)</f>
        <v>15683872.137500001</v>
      </c>
      <c r="K96" s="78">
        <f>SUM(K93:K95)</f>
        <v>10421177.5</v>
      </c>
      <c r="L96" s="34">
        <f>J96-K96</f>
        <v>5262694.6375000011</v>
      </c>
    </row>
  </sheetData>
  <phoneticPr fontId="7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opLeftCell="C1" workbookViewId="0">
      <pane ySplit="6" topLeftCell="A7" activePane="bottomLeft" state="frozenSplit"/>
      <selection pane="bottomLeft" activeCell="G7" sqref="G7"/>
    </sheetView>
  </sheetViews>
  <sheetFormatPr defaultRowHeight="15" x14ac:dyDescent="0.25"/>
  <cols>
    <col min="1" max="1" width="12.85546875" customWidth="1"/>
    <col min="2" max="2" width="47" customWidth="1"/>
    <col min="3" max="3" width="7.140625" bestFit="1" customWidth="1"/>
    <col min="4" max="4" width="17.140625" customWidth="1"/>
    <col min="5" max="5" width="16.140625" bestFit="1" customWidth="1"/>
    <col min="6" max="6" width="4.140625" customWidth="1"/>
    <col min="7" max="7" width="8.28515625" bestFit="1" customWidth="1"/>
    <col min="8" max="8" width="9.7109375" style="2" bestFit="1" customWidth="1"/>
    <col min="9" max="9" width="12.28515625" customWidth="1"/>
    <col min="10" max="12" width="16.140625" bestFit="1" customWidth="1"/>
    <col min="13" max="13" width="18.28515625" bestFit="1" customWidth="1"/>
    <col min="14" max="14" width="13.5703125" bestFit="1" customWidth="1"/>
  </cols>
  <sheetData>
    <row r="1" spans="1:14" x14ac:dyDescent="0.25">
      <c r="A1" s="71" t="s">
        <v>317</v>
      </c>
      <c r="B1" s="71"/>
      <c r="D1" t="s">
        <v>79</v>
      </c>
    </row>
    <row r="2" spans="1:14" x14ac:dyDescent="0.25">
      <c r="A2" s="1"/>
      <c r="B2" s="1"/>
      <c r="D2" t="s">
        <v>80</v>
      </c>
    </row>
    <row r="3" spans="1:14" x14ac:dyDescent="0.25">
      <c r="A3" t="s">
        <v>3</v>
      </c>
      <c r="B3" t="s">
        <v>78</v>
      </c>
      <c r="D3" t="s">
        <v>8</v>
      </c>
    </row>
    <row r="4" spans="1:14" ht="15.75" thickBot="1" x14ac:dyDescent="0.3"/>
    <row r="5" spans="1:14" x14ac:dyDescent="0.25">
      <c r="A5" s="4"/>
      <c r="B5" s="6"/>
      <c r="C5" s="5"/>
      <c r="D5" s="23" t="s">
        <v>42</v>
      </c>
      <c r="E5" s="66">
        <v>24139000</v>
      </c>
      <c r="F5" s="25"/>
      <c r="G5" s="7" t="s">
        <v>10</v>
      </c>
      <c r="H5" s="52" t="s">
        <v>10</v>
      </c>
      <c r="I5" s="6" t="s">
        <v>125</v>
      </c>
      <c r="J5" s="66" t="s">
        <v>222</v>
      </c>
      <c r="K5" s="66" t="s">
        <v>11</v>
      </c>
      <c r="L5" s="66" t="s">
        <v>204</v>
      </c>
      <c r="M5" s="83" t="s">
        <v>205</v>
      </c>
    </row>
    <row r="6" spans="1:14" ht="15.75" thickBot="1" x14ac:dyDescent="0.3">
      <c r="A6" s="9" t="s">
        <v>43</v>
      </c>
      <c r="B6" s="10" t="s">
        <v>12</v>
      </c>
      <c r="C6" s="10" t="s">
        <v>13</v>
      </c>
      <c r="D6" s="29" t="s">
        <v>14</v>
      </c>
      <c r="E6" s="29" t="s">
        <v>15</v>
      </c>
      <c r="F6" s="30"/>
      <c r="G6" s="11" t="s">
        <v>73</v>
      </c>
      <c r="H6" s="53" t="s">
        <v>17</v>
      </c>
      <c r="I6" s="10" t="s">
        <v>17</v>
      </c>
      <c r="J6" s="29"/>
      <c r="K6" s="29" t="s">
        <v>14</v>
      </c>
      <c r="L6" s="29"/>
      <c r="M6" s="31"/>
    </row>
    <row r="7" spans="1:14" x14ac:dyDescent="0.25">
      <c r="A7" s="1" t="s">
        <v>19</v>
      </c>
      <c r="B7" s="15"/>
      <c r="C7" s="16">
        <v>0.3</v>
      </c>
      <c r="D7" s="32">
        <f>+$E$5*C7</f>
        <v>7241700</v>
      </c>
      <c r="E7" s="33">
        <f>+D7</f>
        <v>7241700</v>
      </c>
      <c r="F7" s="34"/>
      <c r="G7" s="65">
        <v>175</v>
      </c>
      <c r="H7" s="2" t="s">
        <v>314</v>
      </c>
      <c r="I7" s="59">
        <v>40367</v>
      </c>
      <c r="J7" s="33">
        <f>E7</f>
        <v>7241700</v>
      </c>
      <c r="K7" s="33">
        <f>J7</f>
        <v>7241700</v>
      </c>
      <c r="L7" s="33">
        <f>J7-K7</f>
        <v>0</v>
      </c>
    </row>
    <row r="8" spans="1:14" x14ac:dyDescent="0.25">
      <c r="B8" s="15"/>
      <c r="C8" s="16"/>
      <c r="D8" s="70" t="s">
        <v>201</v>
      </c>
      <c r="E8" s="34">
        <f>E7*12%</f>
        <v>869004</v>
      </c>
      <c r="F8" s="34"/>
      <c r="G8" s="65"/>
      <c r="I8" s="59"/>
      <c r="J8" s="34">
        <f>E8</f>
        <v>869004</v>
      </c>
      <c r="K8" s="33">
        <f>J8</f>
        <v>869004</v>
      </c>
      <c r="L8" s="34">
        <f>J8-K8</f>
        <v>0</v>
      </c>
    </row>
    <row r="9" spans="1:14" x14ac:dyDescent="0.25">
      <c r="B9" s="15"/>
      <c r="C9" s="16"/>
      <c r="D9" s="129" t="s">
        <v>341</v>
      </c>
      <c r="E9" s="72">
        <f>-E7*8.1%</f>
        <v>-586577.70000000007</v>
      </c>
      <c r="F9" s="34"/>
      <c r="G9" s="65"/>
      <c r="I9" s="59"/>
      <c r="J9" s="72">
        <f>-J7*8.1%</f>
        <v>-586577.70000000007</v>
      </c>
      <c r="K9" s="33">
        <f>J9</f>
        <v>-586577.70000000007</v>
      </c>
      <c r="L9" s="72">
        <f>J9-K9</f>
        <v>0</v>
      </c>
    </row>
    <row r="10" spans="1:14" x14ac:dyDescent="0.25">
      <c r="B10" s="15"/>
      <c r="C10" s="16"/>
      <c r="D10" s="70" t="s">
        <v>41</v>
      </c>
      <c r="E10" s="34">
        <f>SUM(E7:E9)</f>
        <v>7524126.2999999998</v>
      </c>
      <c r="F10" s="34"/>
      <c r="G10" s="65"/>
      <c r="I10" s="59"/>
      <c r="J10" s="34">
        <f>SUM(J7:J9)</f>
        <v>7524126.2999999998</v>
      </c>
      <c r="K10" s="34">
        <f>SUM(K7:K9)</f>
        <v>7524126.2999999998</v>
      </c>
      <c r="L10" s="34">
        <f>J10-K10</f>
        <v>0</v>
      </c>
      <c r="M10" s="128"/>
      <c r="N10" s="128"/>
    </row>
    <row r="11" spans="1:14" x14ac:dyDescent="0.25">
      <c r="A11" s="1"/>
      <c r="B11" s="15" t="s">
        <v>81</v>
      </c>
      <c r="C11" s="16"/>
      <c r="D11" s="32"/>
      <c r="E11" s="35"/>
      <c r="F11" s="35"/>
      <c r="G11" s="65"/>
      <c r="I11" s="35"/>
      <c r="J11" s="35"/>
      <c r="K11" s="35"/>
      <c r="L11" s="35"/>
    </row>
    <row r="12" spans="1:14" x14ac:dyDescent="0.25">
      <c r="A12" s="1" t="s">
        <v>20</v>
      </c>
      <c r="B12" t="s">
        <v>45</v>
      </c>
      <c r="C12" s="16">
        <v>0.1</v>
      </c>
      <c r="D12" s="32">
        <f>+$E$5*C12</f>
        <v>2413900</v>
      </c>
      <c r="E12" s="35"/>
      <c r="F12" s="35"/>
      <c r="G12" s="65"/>
      <c r="I12" s="59"/>
      <c r="J12" s="35"/>
      <c r="K12" s="35"/>
      <c r="L12" s="35"/>
    </row>
    <row r="13" spans="1:14" x14ac:dyDescent="0.25">
      <c r="B13" t="s">
        <v>197</v>
      </c>
      <c r="C13" s="16">
        <v>0.1</v>
      </c>
      <c r="D13" s="32">
        <f>+$E$5*C13</f>
        <v>2413900</v>
      </c>
      <c r="E13" s="35"/>
      <c r="F13" s="35"/>
      <c r="G13" s="65"/>
      <c r="I13" s="59"/>
      <c r="J13" s="35"/>
      <c r="K13" s="35"/>
      <c r="L13" s="35"/>
    </row>
    <row r="14" spans="1:14" x14ac:dyDescent="0.25">
      <c r="B14" s="1" t="s">
        <v>22</v>
      </c>
      <c r="C14" s="16"/>
      <c r="D14" s="32"/>
      <c r="E14" s="33">
        <f>SUM(D12:D13)</f>
        <v>4827800</v>
      </c>
      <c r="F14" s="38"/>
      <c r="G14" s="65">
        <v>176</v>
      </c>
      <c r="H14" s="2" t="s">
        <v>314</v>
      </c>
      <c r="I14" s="35"/>
      <c r="J14" s="33">
        <f>E14</f>
        <v>4827800</v>
      </c>
      <c r="K14" s="33">
        <v>0</v>
      </c>
      <c r="L14" s="33">
        <f>J14-K14</f>
        <v>4827800</v>
      </c>
    </row>
    <row r="15" spans="1:14" x14ac:dyDescent="0.25">
      <c r="B15" s="1"/>
      <c r="C15" s="16"/>
      <c r="D15" s="70" t="s">
        <v>201</v>
      </c>
      <c r="E15" s="34">
        <f>E14*12%</f>
        <v>579336</v>
      </c>
      <c r="F15" s="38"/>
      <c r="G15" s="65"/>
      <c r="I15" s="35"/>
      <c r="J15" s="34">
        <f>E15</f>
        <v>579336</v>
      </c>
      <c r="K15" s="34">
        <v>0</v>
      </c>
      <c r="L15" s="34">
        <f>J15-K15</f>
        <v>579336</v>
      </c>
    </row>
    <row r="16" spans="1:14" x14ac:dyDescent="0.25">
      <c r="B16" s="1"/>
      <c r="C16" s="16"/>
      <c r="D16" s="70" t="s">
        <v>202</v>
      </c>
      <c r="E16" s="72">
        <f>-E14*4.5%</f>
        <v>-217251</v>
      </c>
      <c r="F16" s="38"/>
      <c r="G16" s="65"/>
      <c r="I16" s="35"/>
      <c r="J16" s="72">
        <f>E16</f>
        <v>-217251</v>
      </c>
      <c r="K16" s="72">
        <v>0</v>
      </c>
      <c r="L16" s="72">
        <f>J16-K16</f>
        <v>-217251</v>
      </c>
    </row>
    <row r="17" spans="1:12" x14ac:dyDescent="0.25">
      <c r="B17" s="1"/>
      <c r="C17" s="16"/>
      <c r="D17" s="70" t="s">
        <v>41</v>
      </c>
      <c r="E17" s="34">
        <f>SUM(E14:E16)</f>
        <v>5189885</v>
      </c>
      <c r="F17" s="38"/>
      <c r="G17" s="65"/>
      <c r="I17" s="35"/>
      <c r="J17" s="34">
        <f>E17</f>
        <v>5189885</v>
      </c>
      <c r="K17" s="34">
        <v>0</v>
      </c>
      <c r="L17" s="34">
        <f>J17-K17</f>
        <v>5189885</v>
      </c>
    </row>
    <row r="18" spans="1:12" x14ac:dyDescent="0.25">
      <c r="B18" s="15" t="s">
        <v>198</v>
      </c>
      <c r="C18" s="15"/>
      <c r="D18" s="37"/>
      <c r="E18" s="38"/>
      <c r="F18" s="38"/>
      <c r="G18" s="65"/>
      <c r="I18" s="35"/>
      <c r="J18" s="38"/>
      <c r="K18" s="38"/>
      <c r="L18" s="38"/>
    </row>
    <row r="19" spans="1:12" x14ac:dyDescent="0.25">
      <c r="A19" s="1" t="s">
        <v>23</v>
      </c>
      <c r="B19" s="124" t="s">
        <v>315</v>
      </c>
      <c r="C19" s="16">
        <v>0.2</v>
      </c>
      <c r="D19" s="32">
        <f>+$E$5*C19</f>
        <v>4827800</v>
      </c>
      <c r="F19" s="38"/>
      <c r="G19" s="65"/>
      <c r="I19" s="35"/>
    </row>
    <row r="20" spans="1:12" x14ac:dyDescent="0.25">
      <c r="A20" s="1"/>
      <c r="B20" s="16"/>
      <c r="C20" s="16"/>
      <c r="D20" s="32">
        <f>+$E$5*C20</f>
        <v>0</v>
      </c>
      <c r="E20" s="38"/>
      <c r="F20" s="38"/>
      <c r="G20" s="65"/>
      <c r="I20" s="35"/>
      <c r="J20" s="38"/>
      <c r="K20" s="38"/>
      <c r="L20" s="38"/>
    </row>
    <row r="21" spans="1:12" x14ac:dyDescent="0.25">
      <c r="A21" s="1"/>
      <c r="B21" s="1" t="s">
        <v>25</v>
      </c>
      <c r="C21" s="16"/>
      <c r="D21" s="32"/>
      <c r="E21" s="33">
        <f>SUM(D19:D20)</f>
        <v>4827800</v>
      </c>
      <c r="F21" s="35"/>
      <c r="G21" s="65"/>
      <c r="I21" s="35"/>
      <c r="J21" s="33"/>
      <c r="K21" s="33">
        <v>0</v>
      </c>
      <c r="L21" s="33">
        <f>J21-K21</f>
        <v>0</v>
      </c>
    </row>
    <row r="22" spans="1:12" x14ac:dyDescent="0.25">
      <c r="A22" s="1"/>
      <c r="B22" s="1"/>
      <c r="C22" s="16"/>
      <c r="D22" s="70" t="s">
        <v>201</v>
      </c>
      <c r="E22" s="34">
        <f>E21*12%</f>
        <v>579336</v>
      </c>
      <c r="F22" s="35"/>
      <c r="G22" s="65"/>
      <c r="I22" s="35"/>
      <c r="J22" s="34"/>
      <c r="K22" s="34">
        <v>0</v>
      </c>
      <c r="L22" s="34">
        <f>J22-K22</f>
        <v>0</v>
      </c>
    </row>
    <row r="23" spans="1:12" x14ac:dyDescent="0.25">
      <c r="A23" s="1"/>
      <c r="B23" s="1"/>
      <c r="C23" s="16"/>
      <c r="D23" s="70" t="s">
        <v>202</v>
      </c>
      <c r="E23" s="72">
        <f>-E21*4.5%</f>
        <v>-217251</v>
      </c>
      <c r="F23" s="35"/>
      <c r="G23" s="65"/>
      <c r="I23" s="35"/>
      <c r="J23" s="72"/>
      <c r="K23" s="72">
        <v>0</v>
      </c>
      <c r="L23" s="72">
        <f>J23-K23</f>
        <v>0</v>
      </c>
    </row>
    <row r="24" spans="1:12" x14ac:dyDescent="0.25">
      <c r="A24" s="1"/>
      <c r="B24" s="1"/>
      <c r="C24" s="16"/>
      <c r="D24" s="70" t="s">
        <v>41</v>
      </c>
      <c r="E24" s="34">
        <f>SUM(E21:E23)</f>
        <v>5189885</v>
      </c>
      <c r="F24" s="35"/>
      <c r="G24" s="65"/>
      <c r="I24" s="35"/>
      <c r="J24" s="34"/>
      <c r="K24" s="34">
        <v>0</v>
      </c>
      <c r="L24" s="34">
        <f>J24-K24</f>
        <v>0</v>
      </c>
    </row>
    <row r="25" spans="1:12" x14ac:dyDescent="0.25">
      <c r="A25" s="1"/>
      <c r="B25" s="1"/>
      <c r="C25" s="16"/>
      <c r="D25" s="70"/>
      <c r="E25" s="34"/>
      <c r="F25" s="35"/>
      <c r="G25" s="65"/>
      <c r="I25" s="35"/>
      <c r="J25" s="34"/>
      <c r="K25" s="34"/>
      <c r="L25" s="34"/>
    </row>
    <row r="26" spans="1:12" x14ac:dyDescent="0.25">
      <c r="A26" s="1" t="s">
        <v>26</v>
      </c>
      <c r="B26" s="16" t="s">
        <v>83</v>
      </c>
      <c r="C26" s="16">
        <v>0.1</v>
      </c>
      <c r="D26" s="32">
        <f>+$E$5*C26</f>
        <v>2413900</v>
      </c>
      <c r="E26" s="35"/>
      <c r="F26" s="35"/>
      <c r="G26" s="65"/>
      <c r="I26" s="35"/>
      <c r="J26" s="35"/>
      <c r="K26" s="35"/>
      <c r="L26" s="35"/>
    </row>
    <row r="27" spans="1:12" x14ac:dyDescent="0.25">
      <c r="B27" s="16" t="s">
        <v>84</v>
      </c>
      <c r="C27" s="16">
        <v>0.05</v>
      </c>
      <c r="D27" s="32">
        <f>+$E$5*C27</f>
        <v>1206950</v>
      </c>
      <c r="E27" s="35"/>
      <c r="F27" s="35"/>
      <c r="G27" s="65"/>
      <c r="I27" s="35"/>
      <c r="J27" s="35"/>
      <c r="K27" s="35"/>
      <c r="L27" s="35"/>
    </row>
    <row r="28" spans="1:12" x14ac:dyDescent="0.25">
      <c r="B28" s="19" t="s">
        <v>28</v>
      </c>
      <c r="C28" s="15"/>
      <c r="D28" s="37"/>
      <c r="E28" s="33">
        <f>SUM(D26:D27)</f>
        <v>3620850</v>
      </c>
      <c r="F28" s="38"/>
      <c r="G28" s="65"/>
      <c r="I28" s="35"/>
      <c r="J28" s="33"/>
      <c r="K28" s="33">
        <v>0</v>
      </c>
      <c r="L28" s="33">
        <f>J28-K28</f>
        <v>0</v>
      </c>
    </row>
    <row r="29" spans="1:12" x14ac:dyDescent="0.25">
      <c r="B29" s="19"/>
      <c r="C29" s="15"/>
      <c r="D29" s="70" t="s">
        <v>201</v>
      </c>
      <c r="E29" s="34">
        <f>E28*12%</f>
        <v>434502</v>
      </c>
      <c r="F29" s="38"/>
      <c r="G29" s="65"/>
      <c r="I29" s="35"/>
      <c r="J29" s="34"/>
      <c r="K29" s="34">
        <v>0</v>
      </c>
      <c r="L29" s="34">
        <f>J29-K29</f>
        <v>0</v>
      </c>
    </row>
    <row r="30" spans="1:12" x14ac:dyDescent="0.25">
      <c r="B30" s="19"/>
      <c r="C30" s="15"/>
      <c r="D30" s="70" t="s">
        <v>202</v>
      </c>
      <c r="E30" s="72">
        <f>-E28*4.5%</f>
        <v>-162938.25</v>
      </c>
      <c r="F30" s="38"/>
      <c r="G30" s="65"/>
      <c r="I30" s="35"/>
      <c r="J30" s="72"/>
      <c r="K30" s="72">
        <v>0</v>
      </c>
      <c r="L30" s="72">
        <f>J30-K30</f>
        <v>0</v>
      </c>
    </row>
    <row r="31" spans="1:12" x14ac:dyDescent="0.25">
      <c r="B31" s="19"/>
      <c r="C31" s="15"/>
      <c r="D31" s="70" t="s">
        <v>41</v>
      </c>
      <c r="E31" s="34">
        <f>SUM(E28:E30)</f>
        <v>3892413.75</v>
      </c>
      <c r="F31" s="38"/>
      <c r="G31" s="65"/>
      <c r="I31" s="35"/>
      <c r="J31" s="34"/>
      <c r="K31" s="34">
        <v>0</v>
      </c>
      <c r="L31" s="34">
        <f>J31-K31</f>
        <v>0</v>
      </c>
    </row>
    <row r="32" spans="1:12" x14ac:dyDescent="0.25">
      <c r="B32" s="20" t="s">
        <v>98</v>
      </c>
      <c r="C32" s="16"/>
      <c r="D32" s="35"/>
      <c r="E32" s="35"/>
      <c r="F32" s="35"/>
      <c r="G32" s="35"/>
      <c r="I32" s="35"/>
      <c r="J32" s="35"/>
      <c r="K32" s="35"/>
      <c r="L32" s="35"/>
    </row>
    <row r="33" spans="1:12" x14ac:dyDescent="0.25">
      <c r="A33" s="71" t="s">
        <v>29</v>
      </c>
      <c r="B33" s="13" t="s">
        <v>99</v>
      </c>
      <c r="C33" s="16">
        <v>0.1</v>
      </c>
      <c r="D33" s="32">
        <f>+$E$5*C33</f>
        <v>2413900</v>
      </c>
      <c r="E33" s="35"/>
      <c r="F33" s="35"/>
      <c r="G33" s="18"/>
      <c r="I33" s="35"/>
      <c r="J33" s="35"/>
      <c r="K33" s="35"/>
      <c r="L33" s="35"/>
    </row>
    <row r="34" spans="1:12" x14ac:dyDescent="0.25">
      <c r="B34" s="13" t="s">
        <v>100</v>
      </c>
      <c r="C34" s="16"/>
      <c r="D34" s="32">
        <f>+$E$5*C34</f>
        <v>0</v>
      </c>
      <c r="E34" s="35"/>
      <c r="F34" s="35"/>
      <c r="G34" s="18"/>
      <c r="I34" s="35"/>
      <c r="J34" s="35"/>
      <c r="K34" s="35"/>
      <c r="L34" s="35"/>
    </row>
    <row r="35" spans="1:12" x14ac:dyDescent="0.25">
      <c r="B35" s="13" t="s">
        <v>101</v>
      </c>
      <c r="C35" s="16"/>
      <c r="D35" s="35"/>
      <c r="E35" s="35"/>
      <c r="F35" s="35"/>
      <c r="G35" s="35"/>
      <c r="I35" s="35"/>
      <c r="J35" s="35"/>
      <c r="K35" s="35"/>
      <c r="L35" s="35"/>
    </row>
    <row r="36" spans="1:12" x14ac:dyDescent="0.25">
      <c r="B36" s="13" t="s">
        <v>102</v>
      </c>
      <c r="C36" s="16"/>
      <c r="D36" s="32">
        <f>+$E$5*C36</f>
        <v>0</v>
      </c>
      <c r="E36" s="35"/>
      <c r="F36" s="35"/>
      <c r="G36" s="18"/>
      <c r="I36" s="35"/>
      <c r="J36" s="35"/>
      <c r="K36" s="35"/>
      <c r="L36" s="35"/>
    </row>
    <row r="37" spans="1:12" x14ac:dyDescent="0.25">
      <c r="B37" s="13" t="s">
        <v>103</v>
      </c>
      <c r="C37" s="16"/>
      <c r="D37" s="35"/>
      <c r="E37" s="35"/>
      <c r="F37" s="35"/>
      <c r="G37" s="35"/>
      <c r="I37" s="35"/>
      <c r="J37" s="35"/>
      <c r="K37" s="35"/>
      <c r="L37" s="35"/>
    </row>
    <row r="38" spans="1:12" x14ac:dyDescent="0.25">
      <c r="B38" s="13" t="s">
        <v>104</v>
      </c>
      <c r="C38" s="16"/>
      <c r="D38" s="32">
        <f>+$E$5*C38</f>
        <v>0</v>
      </c>
      <c r="E38" s="35"/>
      <c r="F38" s="35"/>
      <c r="G38" s="18"/>
      <c r="I38" s="35"/>
      <c r="J38" s="35"/>
      <c r="K38" s="35"/>
      <c r="L38" s="35"/>
    </row>
    <row r="39" spans="1:12" x14ac:dyDescent="0.25">
      <c r="B39" s="125" t="s">
        <v>31</v>
      </c>
      <c r="C39" s="16"/>
      <c r="D39" s="35"/>
      <c r="E39" s="33">
        <f>SUM(D33:D38)</f>
        <v>2413900</v>
      </c>
      <c r="F39" s="38"/>
      <c r="G39" s="38"/>
      <c r="I39" s="35"/>
      <c r="J39" s="33"/>
      <c r="K39" s="33">
        <v>0</v>
      </c>
      <c r="L39" s="33">
        <f>J39-K39</f>
        <v>0</v>
      </c>
    </row>
    <row r="40" spans="1:12" x14ac:dyDescent="0.25">
      <c r="B40" s="20"/>
      <c r="C40" s="16"/>
      <c r="D40" s="70" t="s">
        <v>201</v>
      </c>
      <c r="E40" s="34">
        <f>E39*12%</f>
        <v>289668</v>
      </c>
      <c r="F40" s="38"/>
      <c r="G40" s="38"/>
      <c r="I40" s="35"/>
      <c r="J40" s="34"/>
      <c r="K40" s="34">
        <v>0</v>
      </c>
      <c r="L40" s="34">
        <f>J40-K40</f>
        <v>0</v>
      </c>
    </row>
    <row r="41" spans="1:12" x14ac:dyDescent="0.25">
      <c r="B41" s="20"/>
      <c r="C41" s="16"/>
      <c r="D41" s="70" t="s">
        <v>202</v>
      </c>
      <c r="E41" s="72">
        <f>-E39*4.5%</f>
        <v>-108625.5</v>
      </c>
      <c r="F41" s="38"/>
      <c r="G41" s="38"/>
      <c r="I41" s="35"/>
      <c r="J41" s="72"/>
      <c r="K41" s="72">
        <v>0</v>
      </c>
      <c r="L41" s="72">
        <f>J41-K41</f>
        <v>0</v>
      </c>
    </row>
    <row r="42" spans="1:12" x14ac:dyDescent="0.25">
      <c r="B42" s="20"/>
      <c r="C42" s="16"/>
      <c r="D42" s="70" t="s">
        <v>41</v>
      </c>
      <c r="E42" s="34">
        <f>SUM(E39:E41)</f>
        <v>2594942.5</v>
      </c>
      <c r="F42" s="38"/>
      <c r="G42" s="38"/>
      <c r="I42" s="35"/>
      <c r="J42" s="34"/>
      <c r="K42" s="34">
        <v>0</v>
      </c>
      <c r="L42" s="34">
        <f>J42-K42</f>
        <v>0</v>
      </c>
    </row>
    <row r="43" spans="1:12" x14ac:dyDescent="0.25">
      <c r="B43" s="71" t="s">
        <v>316</v>
      </c>
      <c r="C43" s="16"/>
      <c r="D43" s="35"/>
      <c r="E43" s="35"/>
      <c r="F43" s="35"/>
      <c r="G43" s="35"/>
      <c r="I43" s="35"/>
      <c r="J43" s="35"/>
      <c r="K43" s="35"/>
      <c r="L43" s="35"/>
    </row>
    <row r="44" spans="1:12" ht="30" x14ac:dyDescent="0.25">
      <c r="A44" s="71" t="s">
        <v>32</v>
      </c>
      <c r="B44" s="21" t="s">
        <v>114</v>
      </c>
      <c r="C44" s="16">
        <v>0.01</v>
      </c>
      <c r="D44" s="32">
        <f>+$E$5*C44</f>
        <v>241390</v>
      </c>
      <c r="E44" s="35"/>
      <c r="F44" s="35"/>
      <c r="G44" s="35"/>
      <c r="I44" s="35"/>
      <c r="J44" s="35"/>
      <c r="K44" s="35"/>
      <c r="L44" s="35"/>
    </row>
    <row r="45" spans="1:12" ht="30" x14ac:dyDescent="0.25">
      <c r="B45" s="21" t="s">
        <v>116</v>
      </c>
      <c r="C45" s="16">
        <v>0.01</v>
      </c>
      <c r="D45" s="32">
        <f>+$E$5*C45</f>
        <v>241390</v>
      </c>
      <c r="E45" s="35"/>
      <c r="F45" s="35"/>
      <c r="G45" s="35"/>
      <c r="I45" s="35"/>
      <c r="J45" s="35"/>
      <c r="K45" s="35"/>
      <c r="L45" s="35"/>
    </row>
    <row r="46" spans="1:12" ht="45" x14ac:dyDescent="0.25">
      <c r="B46" s="21" t="s">
        <v>117</v>
      </c>
      <c r="C46" s="16">
        <v>0.01</v>
      </c>
      <c r="D46" s="32">
        <f>+$E$5*C46</f>
        <v>241390</v>
      </c>
      <c r="E46" s="35"/>
      <c r="F46" s="35"/>
      <c r="G46" s="35"/>
      <c r="I46" s="35"/>
      <c r="J46" s="35"/>
      <c r="K46" s="35"/>
      <c r="L46" s="35"/>
    </row>
    <row r="47" spans="1:12" x14ac:dyDescent="0.25">
      <c r="B47" s="54" t="s">
        <v>118</v>
      </c>
      <c r="C47" s="16">
        <v>0.01</v>
      </c>
      <c r="D47" s="32">
        <f>+$E$5*C47</f>
        <v>241390</v>
      </c>
      <c r="E47" s="35"/>
      <c r="F47" s="35"/>
      <c r="G47" s="35"/>
      <c r="I47" s="35"/>
      <c r="J47" s="35"/>
      <c r="K47" s="35"/>
      <c r="L47" s="35"/>
    </row>
    <row r="48" spans="1:12" x14ac:dyDescent="0.25">
      <c r="B48" s="54" t="s">
        <v>119</v>
      </c>
      <c r="C48" s="16">
        <v>0.01</v>
      </c>
      <c r="D48" s="32">
        <f>+$E$5*C48</f>
        <v>241390</v>
      </c>
      <c r="E48" s="35"/>
      <c r="F48" s="35"/>
      <c r="G48" s="35"/>
      <c r="I48" s="35"/>
      <c r="J48" s="35"/>
      <c r="K48" s="35"/>
      <c r="L48" s="35"/>
    </row>
    <row r="49" spans="1:12" x14ac:dyDescent="0.25">
      <c r="B49" s="71" t="s">
        <v>34</v>
      </c>
      <c r="D49" s="35"/>
      <c r="E49" s="33">
        <f>SUM(D44:D48)</f>
        <v>1206950</v>
      </c>
      <c r="F49" s="38"/>
      <c r="G49" s="38"/>
      <c r="I49" s="35"/>
      <c r="J49" s="33"/>
      <c r="K49" s="33">
        <v>0</v>
      </c>
      <c r="L49" s="33">
        <f>J49-K49</f>
        <v>0</v>
      </c>
    </row>
    <row r="50" spans="1:12" x14ac:dyDescent="0.25">
      <c r="B50" s="1"/>
      <c r="D50" s="70" t="s">
        <v>201</v>
      </c>
      <c r="E50" s="34">
        <f>E49*12%</f>
        <v>144834</v>
      </c>
      <c r="F50" s="38"/>
      <c r="G50" s="38"/>
      <c r="I50" s="35"/>
      <c r="J50" s="34"/>
      <c r="K50" s="34">
        <v>0</v>
      </c>
      <c r="L50" s="34">
        <f>J50-K50</f>
        <v>0</v>
      </c>
    </row>
    <row r="51" spans="1:12" x14ac:dyDescent="0.25">
      <c r="B51" s="1"/>
      <c r="D51" s="70" t="s">
        <v>202</v>
      </c>
      <c r="E51" s="72">
        <f>-E49*4.5%</f>
        <v>-54312.75</v>
      </c>
      <c r="F51" s="38"/>
      <c r="G51" s="38"/>
      <c r="I51" s="35"/>
      <c r="J51" s="72"/>
      <c r="K51" s="72">
        <v>0</v>
      </c>
      <c r="L51" s="72">
        <f>J51-K51</f>
        <v>0</v>
      </c>
    </row>
    <row r="52" spans="1:12" x14ac:dyDescent="0.25">
      <c r="B52" s="1"/>
      <c r="D52" s="70" t="s">
        <v>41</v>
      </c>
      <c r="E52" s="34">
        <f>SUM(E49:E51)</f>
        <v>1297471.25</v>
      </c>
      <c r="F52" s="38"/>
      <c r="G52" s="38"/>
      <c r="I52" s="35"/>
      <c r="J52" s="34"/>
      <c r="K52" s="34">
        <v>0</v>
      </c>
      <c r="L52" s="34">
        <f>J52-K52</f>
        <v>0</v>
      </c>
    </row>
    <row r="53" spans="1:12" x14ac:dyDescent="0.25">
      <c r="B53" s="1"/>
      <c r="D53" s="70"/>
      <c r="E53" s="34"/>
      <c r="F53" s="38"/>
      <c r="G53" s="38"/>
      <c r="I53" s="35"/>
      <c r="J53" s="34"/>
      <c r="K53" s="34"/>
      <c r="L53" s="34"/>
    </row>
    <row r="54" spans="1:12" x14ac:dyDescent="0.25">
      <c r="B54" s="74" t="s">
        <v>203</v>
      </c>
      <c r="C54" s="75">
        <f>SUM(C7:C48)</f>
        <v>1</v>
      </c>
      <c r="D54" s="69"/>
      <c r="E54" s="76">
        <f>SUM(E7,E14,E21,E28,E39,E49)</f>
        <v>24139000</v>
      </c>
      <c r="F54" s="40"/>
      <c r="G54" s="40"/>
      <c r="I54" s="35"/>
      <c r="J54" s="76">
        <f>SUM(J7,J14,J21,J28,J39,J49)</f>
        <v>12069500</v>
      </c>
      <c r="K54" s="76">
        <f>SUM(K7,K14,K21,K28,K39,K49)</f>
        <v>7241700</v>
      </c>
      <c r="L54" s="76">
        <f>SUM(L7,L14,L21,L28,L39,L49)</f>
        <v>4827800</v>
      </c>
    </row>
    <row r="55" spans="1:12" x14ac:dyDescent="0.25">
      <c r="A55" s="1"/>
      <c r="B55" s="80" t="s">
        <v>201</v>
      </c>
      <c r="C55" s="77"/>
      <c r="D55" s="77"/>
      <c r="E55" s="34">
        <f>E54*12%</f>
        <v>2896680</v>
      </c>
      <c r="J55" s="34">
        <f>J54*12%</f>
        <v>1448340</v>
      </c>
      <c r="K55" s="34">
        <f>K54*12%</f>
        <v>869004</v>
      </c>
      <c r="L55" s="34">
        <f>L54*12%</f>
        <v>579336</v>
      </c>
    </row>
    <row r="56" spans="1:12" x14ac:dyDescent="0.25">
      <c r="B56" s="80" t="s">
        <v>202</v>
      </c>
      <c r="C56" s="77"/>
      <c r="D56" s="77"/>
      <c r="E56" s="72">
        <f>-E54*4.5%</f>
        <v>-1086255</v>
      </c>
      <c r="J56" s="72">
        <f>-J54*4.5%</f>
        <v>-543127.5</v>
      </c>
      <c r="K56" s="72">
        <f>-K54*4.5%</f>
        <v>-325876.5</v>
      </c>
      <c r="L56" s="72">
        <f>-L54*4.5%</f>
        <v>-217251</v>
      </c>
    </row>
    <row r="57" spans="1:12" x14ac:dyDescent="0.25">
      <c r="B57" s="74" t="s">
        <v>41</v>
      </c>
      <c r="C57" s="77"/>
      <c r="D57" s="77"/>
      <c r="E57" s="34">
        <f>SUM(E54:E56)</f>
        <v>25949425</v>
      </c>
      <c r="J57" s="34">
        <f>SUM(J54:J56)</f>
        <v>12974712.5</v>
      </c>
      <c r="K57" s="34">
        <f>SUM(K54:K56)</f>
        <v>7784827.5</v>
      </c>
      <c r="L57" s="34">
        <f>SUM(L54:L56)</f>
        <v>5189885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C1" workbookViewId="0">
      <pane ySplit="6" topLeftCell="A7" activePane="bottomLeft" state="frozenSplit"/>
      <selection pane="bottomLeft" activeCell="G8" sqref="G8"/>
    </sheetView>
  </sheetViews>
  <sheetFormatPr defaultRowHeight="15" x14ac:dyDescent="0.25"/>
  <cols>
    <col min="1" max="1" width="12.85546875" customWidth="1"/>
    <col min="2" max="2" width="47" customWidth="1"/>
    <col min="3" max="3" width="7.140625" bestFit="1" customWidth="1"/>
    <col min="4" max="4" width="17.140625" customWidth="1"/>
    <col min="5" max="5" width="17.28515625" bestFit="1" customWidth="1"/>
    <col min="6" max="6" width="4.140625" customWidth="1"/>
    <col min="7" max="7" width="8.28515625" bestFit="1" customWidth="1"/>
    <col min="8" max="8" width="9.7109375" style="2" bestFit="1" customWidth="1"/>
    <col min="9" max="9" width="12.28515625" customWidth="1"/>
    <col min="10" max="12" width="16.140625" bestFit="1" customWidth="1"/>
    <col min="13" max="13" width="18.28515625" bestFit="1" customWidth="1"/>
  </cols>
  <sheetData>
    <row r="1" spans="1:13" x14ac:dyDescent="0.25">
      <c r="A1" s="71" t="s">
        <v>319</v>
      </c>
      <c r="B1" s="71"/>
      <c r="D1" t="s">
        <v>79</v>
      </c>
    </row>
    <row r="2" spans="1:13" x14ac:dyDescent="0.25">
      <c r="A2" s="1"/>
      <c r="B2" s="1"/>
      <c r="D2" t="s">
        <v>80</v>
      </c>
    </row>
    <row r="3" spans="1:13" x14ac:dyDescent="0.25">
      <c r="A3" t="s">
        <v>3</v>
      </c>
      <c r="B3" t="s">
        <v>78</v>
      </c>
      <c r="D3" t="s">
        <v>8</v>
      </c>
    </row>
    <row r="4" spans="1:13" ht="15.75" thickBot="1" x14ac:dyDescent="0.3"/>
    <row r="5" spans="1:13" x14ac:dyDescent="0.25">
      <c r="A5" s="4"/>
      <c r="B5" s="6"/>
      <c r="C5" s="5"/>
      <c r="D5" s="23" t="s">
        <v>42</v>
      </c>
      <c r="E5" s="66">
        <v>99657818</v>
      </c>
      <c r="F5" s="25"/>
      <c r="G5" s="7" t="s">
        <v>10</v>
      </c>
      <c r="H5" s="52" t="s">
        <v>10</v>
      </c>
      <c r="I5" s="6" t="s">
        <v>125</v>
      </c>
      <c r="J5" s="66" t="s">
        <v>222</v>
      </c>
      <c r="K5" s="66" t="s">
        <v>11</v>
      </c>
      <c r="L5" s="66" t="s">
        <v>204</v>
      </c>
      <c r="M5" s="83" t="s">
        <v>205</v>
      </c>
    </row>
    <row r="6" spans="1:13" ht="15.75" thickBot="1" x14ac:dyDescent="0.3">
      <c r="A6" s="9" t="s">
        <v>43</v>
      </c>
      <c r="B6" s="10" t="s">
        <v>12</v>
      </c>
      <c r="C6" s="10" t="s">
        <v>13</v>
      </c>
      <c r="D6" s="29" t="s">
        <v>14</v>
      </c>
      <c r="E6" s="29" t="s">
        <v>15</v>
      </c>
      <c r="F6" s="30"/>
      <c r="G6" s="11" t="s">
        <v>73</v>
      </c>
      <c r="H6" s="53" t="s">
        <v>17</v>
      </c>
      <c r="I6" s="10" t="s">
        <v>17</v>
      </c>
      <c r="J6" s="29"/>
      <c r="K6" s="29" t="s">
        <v>14</v>
      </c>
      <c r="L6" s="29"/>
      <c r="M6" s="31"/>
    </row>
    <row r="7" spans="1:13" x14ac:dyDescent="0.25">
      <c r="A7" s="1" t="s">
        <v>19</v>
      </c>
      <c r="B7" s="15"/>
      <c r="C7" s="16">
        <v>0.3</v>
      </c>
      <c r="D7" s="32">
        <f>+$E$5*C7</f>
        <v>29897345.399999999</v>
      </c>
      <c r="E7" s="33">
        <f>+D7</f>
        <v>29897345.399999999</v>
      </c>
      <c r="F7" s="34"/>
      <c r="G7" s="65">
        <v>177</v>
      </c>
      <c r="H7" s="2" t="s">
        <v>314</v>
      </c>
      <c r="I7" s="59"/>
      <c r="J7" s="33">
        <f>E7</f>
        <v>29897345.399999999</v>
      </c>
      <c r="K7" s="33"/>
      <c r="L7" s="33">
        <f>J7-K7</f>
        <v>29897345.399999999</v>
      </c>
    </row>
    <row r="8" spans="1:13" x14ac:dyDescent="0.25">
      <c r="B8" s="15"/>
      <c r="C8" s="16"/>
      <c r="D8" s="70" t="s">
        <v>201</v>
      </c>
      <c r="E8" s="34">
        <f>E7*12%</f>
        <v>3587681.4479999999</v>
      </c>
      <c r="F8" s="34"/>
      <c r="G8" s="65"/>
      <c r="I8" s="59"/>
      <c r="J8" s="34">
        <f>E8</f>
        <v>3587681.4479999999</v>
      </c>
      <c r="K8" s="34">
        <v>0</v>
      </c>
      <c r="L8" s="34">
        <f>J8-K8</f>
        <v>3587681.4479999999</v>
      </c>
    </row>
    <row r="9" spans="1:13" x14ac:dyDescent="0.25">
      <c r="B9" s="15"/>
      <c r="C9" s="16"/>
      <c r="D9" s="70" t="s">
        <v>202</v>
      </c>
      <c r="E9" s="72">
        <f>-E7*4.5%</f>
        <v>-1345380.5429999998</v>
      </c>
      <c r="F9" s="34"/>
      <c r="G9" s="65"/>
      <c r="I9" s="59"/>
      <c r="J9" s="72">
        <f>E9</f>
        <v>-1345380.5429999998</v>
      </c>
      <c r="K9" s="72">
        <v>0</v>
      </c>
      <c r="L9" s="72">
        <f>J9-K9</f>
        <v>-1345380.5429999998</v>
      </c>
    </row>
    <row r="10" spans="1:13" x14ac:dyDescent="0.25">
      <c r="B10" s="15"/>
      <c r="C10" s="16"/>
      <c r="D10" s="70" t="s">
        <v>41</v>
      </c>
      <c r="E10" s="34">
        <f>SUM(E7:E9)</f>
        <v>32139646.304999996</v>
      </c>
      <c r="F10" s="34"/>
      <c r="G10" s="65"/>
      <c r="I10" s="59"/>
      <c r="J10" s="34">
        <f>E10</f>
        <v>32139646.304999996</v>
      </c>
      <c r="K10" s="34">
        <f>SUM(K7:K9)</f>
        <v>0</v>
      </c>
      <c r="L10" s="34">
        <f>J10-K10</f>
        <v>32139646.304999996</v>
      </c>
    </row>
    <row r="11" spans="1:13" x14ac:dyDescent="0.25">
      <c r="A11" s="1"/>
      <c r="B11" s="15" t="s">
        <v>81</v>
      </c>
      <c r="C11" s="16"/>
      <c r="D11" s="32"/>
      <c r="E11" s="35"/>
      <c r="F11" s="35"/>
      <c r="G11" s="65"/>
      <c r="I11" s="35"/>
      <c r="J11" s="35"/>
      <c r="K11" s="35"/>
      <c r="L11" s="35"/>
    </row>
    <row r="12" spans="1:13" x14ac:dyDescent="0.25">
      <c r="A12" s="1" t="s">
        <v>20</v>
      </c>
      <c r="B12" t="s">
        <v>45</v>
      </c>
      <c r="C12" s="16">
        <v>0.1</v>
      </c>
      <c r="D12" s="32">
        <f>+$E$5*C12</f>
        <v>9965781.8000000007</v>
      </c>
      <c r="E12" s="35"/>
      <c r="F12" s="35"/>
      <c r="G12" s="65"/>
      <c r="I12" s="59"/>
      <c r="J12" s="35"/>
      <c r="K12" s="35"/>
      <c r="L12" s="35"/>
    </row>
    <row r="13" spans="1:13" x14ac:dyDescent="0.25">
      <c r="B13" t="s">
        <v>197</v>
      </c>
      <c r="C13" s="16">
        <v>0.1</v>
      </c>
      <c r="D13" s="32">
        <f>+$E$5*C13</f>
        <v>9965781.8000000007</v>
      </c>
      <c r="E13" s="35"/>
      <c r="F13" s="35"/>
      <c r="G13" s="65"/>
      <c r="I13" s="59"/>
      <c r="J13" s="35"/>
      <c r="K13" s="35"/>
      <c r="L13" s="35"/>
    </row>
    <row r="14" spans="1:13" x14ac:dyDescent="0.25">
      <c r="B14" s="1" t="s">
        <v>22</v>
      </c>
      <c r="C14" s="16"/>
      <c r="D14" s="32"/>
      <c r="E14" s="33">
        <f>SUM(D12:D13)</f>
        <v>19931563.600000001</v>
      </c>
      <c r="F14" s="38"/>
      <c r="G14" s="65"/>
      <c r="I14" s="35"/>
      <c r="J14" s="33"/>
      <c r="K14" s="33">
        <v>0</v>
      </c>
      <c r="L14" s="33">
        <f>J14-K14</f>
        <v>0</v>
      </c>
    </row>
    <row r="15" spans="1:13" x14ac:dyDescent="0.25">
      <c r="B15" s="1"/>
      <c r="C15" s="16"/>
      <c r="D15" s="70" t="s">
        <v>201</v>
      </c>
      <c r="E15" s="34">
        <f>E14*12%</f>
        <v>2391787.6320000002</v>
      </c>
      <c r="F15" s="38"/>
      <c r="G15" s="65"/>
      <c r="I15" s="35"/>
      <c r="J15" s="34"/>
      <c r="K15" s="34">
        <v>0</v>
      </c>
      <c r="L15" s="34">
        <f>J15-K15</f>
        <v>0</v>
      </c>
    </row>
    <row r="16" spans="1:13" x14ac:dyDescent="0.25">
      <c r="B16" s="1"/>
      <c r="C16" s="16"/>
      <c r="D16" s="70" t="s">
        <v>202</v>
      </c>
      <c r="E16" s="72">
        <f>-E14*4.5%</f>
        <v>-896920.36200000008</v>
      </c>
      <c r="F16" s="38"/>
      <c r="G16" s="65"/>
      <c r="I16" s="35"/>
      <c r="J16" s="72"/>
      <c r="K16" s="72">
        <v>0</v>
      </c>
      <c r="L16" s="72">
        <f>J16-K16</f>
        <v>0</v>
      </c>
    </row>
    <row r="17" spans="1:12" x14ac:dyDescent="0.25">
      <c r="B17" s="1"/>
      <c r="C17" s="16"/>
      <c r="D17" s="70" t="s">
        <v>41</v>
      </c>
      <c r="E17" s="34">
        <f>SUM(E14:E16)</f>
        <v>21426430.870000001</v>
      </c>
      <c r="F17" s="38"/>
      <c r="G17" s="65"/>
      <c r="I17" s="35"/>
      <c r="J17" s="34"/>
      <c r="K17" s="34">
        <v>0</v>
      </c>
      <c r="L17" s="34">
        <f>J17-K17</f>
        <v>0</v>
      </c>
    </row>
    <row r="18" spans="1:12" x14ac:dyDescent="0.25">
      <c r="B18" s="15" t="s">
        <v>198</v>
      </c>
      <c r="C18" s="15"/>
      <c r="D18" s="37"/>
      <c r="E18" s="38"/>
      <c r="F18" s="38"/>
      <c r="G18" s="65"/>
      <c r="I18" s="35"/>
      <c r="J18" s="38"/>
      <c r="K18" s="38"/>
      <c r="L18" s="38"/>
    </row>
    <row r="19" spans="1:12" x14ac:dyDescent="0.25">
      <c r="A19" s="1" t="s">
        <v>23</v>
      </c>
      <c r="B19" s="124" t="s">
        <v>315</v>
      </c>
      <c r="C19" s="16">
        <v>0.2</v>
      </c>
      <c r="D19" s="32">
        <f>+$E$5*C19</f>
        <v>19931563.600000001</v>
      </c>
      <c r="F19" s="38"/>
      <c r="G19" s="65"/>
      <c r="I19" s="35"/>
    </row>
    <row r="20" spans="1:12" x14ac:dyDescent="0.25">
      <c r="A20" s="1"/>
      <c r="B20" s="16"/>
      <c r="C20" s="16"/>
      <c r="D20" s="32">
        <f>+$E$5*C20</f>
        <v>0</v>
      </c>
      <c r="E20" s="38"/>
      <c r="F20" s="38"/>
      <c r="G20" s="65"/>
      <c r="I20" s="35"/>
      <c r="J20" s="38"/>
      <c r="K20" s="38"/>
      <c r="L20" s="38"/>
    </row>
    <row r="21" spans="1:12" x14ac:dyDescent="0.25">
      <c r="A21" s="1"/>
      <c r="B21" s="1" t="s">
        <v>25</v>
      </c>
      <c r="C21" s="16"/>
      <c r="D21" s="32"/>
      <c r="E21" s="33">
        <f>SUM(D19:D20)</f>
        <v>19931563.600000001</v>
      </c>
      <c r="F21" s="35"/>
      <c r="G21" s="65"/>
      <c r="I21" s="35"/>
      <c r="J21" s="33"/>
      <c r="K21" s="33">
        <v>0</v>
      </c>
      <c r="L21" s="33">
        <f>J21-K21</f>
        <v>0</v>
      </c>
    </row>
    <row r="22" spans="1:12" x14ac:dyDescent="0.25">
      <c r="A22" s="1"/>
      <c r="B22" s="1"/>
      <c r="C22" s="16"/>
      <c r="D22" s="70" t="s">
        <v>201</v>
      </c>
      <c r="E22" s="34">
        <f>E21*12%</f>
        <v>2391787.6320000002</v>
      </c>
      <c r="F22" s="35"/>
      <c r="G22" s="65"/>
      <c r="I22" s="35"/>
      <c r="J22" s="34"/>
      <c r="K22" s="34">
        <v>0</v>
      </c>
      <c r="L22" s="34">
        <f>J22-K22</f>
        <v>0</v>
      </c>
    </row>
    <row r="23" spans="1:12" x14ac:dyDescent="0.25">
      <c r="A23" s="1"/>
      <c r="B23" s="1"/>
      <c r="C23" s="16"/>
      <c r="D23" s="70" t="s">
        <v>202</v>
      </c>
      <c r="E23" s="72">
        <f>-E21*4.5%</f>
        <v>-896920.36200000008</v>
      </c>
      <c r="F23" s="35"/>
      <c r="G23" s="65"/>
      <c r="I23" s="35"/>
      <c r="J23" s="72"/>
      <c r="K23" s="72">
        <v>0</v>
      </c>
      <c r="L23" s="72">
        <f>J23-K23</f>
        <v>0</v>
      </c>
    </row>
    <row r="24" spans="1:12" x14ac:dyDescent="0.25">
      <c r="A24" s="1"/>
      <c r="B24" s="1"/>
      <c r="C24" s="16"/>
      <c r="D24" s="70" t="s">
        <v>41</v>
      </c>
      <c r="E24" s="34">
        <f>SUM(E21:E23)</f>
        <v>21426430.870000001</v>
      </c>
      <c r="F24" s="35"/>
      <c r="G24" s="65"/>
      <c r="I24" s="35"/>
      <c r="J24" s="34"/>
      <c r="K24" s="34">
        <v>0</v>
      </c>
      <c r="L24" s="34">
        <f>J24-K24</f>
        <v>0</v>
      </c>
    </row>
    <row r="25" spans="1:12" x14ac:dyDescent="0.25">
      <c r="A25" s="1"/>
      <c r="B25" s="1"/>
      <c r="C25" s="16"/>
      <c r="D25" s="70"/>
      <c r="E25" s="34"/>
      <c r="F25" s="35"/>
      <c r="G25" s="65"/>
      <c r="I25" s="35"/>
      <c r="J25" s="34"/>
      <c r="K25" s="34"/>
      <c r="L25" s="34"/>
    </row>
    <row r="26" spans="1:12" x14ac:dyDescent="0.25">
      <c r="A26" s="1" t="s">
        <v>26</v>
      </c>
      <c r="B26" s="16" t="s">
        <v>83</v>
      </c>
      <c r="C26" s="16">
        <v>0.1</v>
      </c>
      <c r="D26" s="32">
        <f>+$E$5*C26</f>
        <v>9965781.8000000007</v>
      </c>
      <c r="E26" s="35"/>
      <c r="F26" s="35"/>
      <c r="G26" s="65"/>
      <c r="I26" s="35"/>
      <c r="J26" s="35"/>
      <c r="K26" s="35"/>
      <c r="L26" s="35"/>
    </row>
    <row r="27" spans="1:12" x14ac:dyDescent="0.25">
      <c r="B27" s="16" t="s">
        <v>84</v>
      </c>
      <c r="C27" s="16">
        <v>0.05</v>
      </c>
      <c r="D27" s="32">
        <f>+$E$5*C27</f>
        <v>4982890.9000000004</v>
      </c>
      <c r="E27" s="35"/>
      <c r="F27" s="35"/>
      <c r="G27" s="65"/>
      <c r="I27" s="35"/>
      <c r="J27" s="35"/>
      <c r="K27" s="35"/>
      <c r="L27" s="35"/>
    </row>
    <row r="28" spans="1:12" x14ac:dyDescent="0.25">
      <c r="B28" s="19" t="s">
        <v>28</v>
      </c>
      <c r="C28" s="15"/>
      <c r="D28" s="37"/>
      <c r="E28" s="33">
        <f>SUM(D26:D27)</f>
        <v>14948672.700000001</v>
      </c>
      <c r="F28" s="38"/>
      <c r="G28" s="65"/>
      <c r="I28" s="35"/>
      <c r="J28" s="33"/>
      <c r="K28" s="33">
        <v>0</v>
      </c>
      <c r="L28" s="33">
        <f>J28-K28</f>
        <v>0</v>
      </c>
    </row>
    <row r="29" spans="1:12" x14ac:dyDescent="0.25">
      <c r="B29" s="19"/>
      <c r="C29" s="15"/>
      <c r="D29" s="70" t="s">
        <v>201</v>
      </c>
      <c r="E29" s="34">
        <f>E28*12%</f>
        <v>1793840.7240000002</v>
      </c>
      <c r="F29" s="38"/>
      <c r="G29" s="65"/>
      <c r="I29" s="35"/>
      <c r="J29" s="34"/>
      <c r="K29" s="34">
        <v>0</v>
      </c>
      <c r="L29" s="34">
        <f>J29-K29</f>
        <v>0</v>
      </c>
    </row>
    <row r="30" spans="1:12" x14ac:dyDescent="0.25">
      <c r="B30" s="19"/>
      <c r="C30" s="15"/>
      <c r="D30" s="70" t="s">
        <v>202</v>
      </c>
      <c r="E30" s="72">
        <f>-E28*4.5%</f>
        <v>-672690.27150000003</v>
      </c>
      <c r="F30" s="38"/>
      <c r="G30" s="65"/>
      <c r="I30" s="35"/>
      <c r="J30" s="72"/>
      <c r="K30" s="72">
        <v>0</v>
      </c>
      <c r="L30" s="72">
        <f>J30-K30</f>
        <v>0</v>
      </c>
    </row>
    <row r="31" spans="1:12" x14ac:dyDescent="0.25">
      <c r="B31" s="19"/>
      <c r="C31" s="15"/>
      <c r="D31" s="70" t="s">
        <v>41</v>
      </c>
      <c r="E31" s="34">
        <f>SUM(E28:E30)</f>
        <v>16069823.1525</v>
      </c>
      <c r="F31" s="38"/>
      <c r="G31" s="65"/>
      <c r="I31" s="35"/>
      <c r="J31" s="34"/>
      <c r="K31" s="34">
        <v>0</v>
      </c>
      <c r="L31" s="34">
        <f>J31-K31</f>
        <v>0</v>
      </c>
    </row>
    <row r="32" spans="1:12" x14ac:dyDescent="0.25">
      <c r="B32" s="20" t="s">
        <v>98</v>
      </c>
      <c r="C32" s="16"/>
      <c r="D32" s="35"/>
      <c r="E32" s="35"/>
      <c r="F32" s="35"/>
      <c r="G32" s="35"/>
      <c r="I32" s="35"/>
      <c r="J32" s="35"/>
      <c r="K32" s="35"/>
      <c r="L32" s="35"/>
    </row>
    <row r="33" spans="1:12" x14ac:dyDescent="0.25">
      <c r="A33" s="71" t="s">
        <v>29</v>
      </c>
      <c r="B33" s="13" t="s">
        <v>99</v>
      </c>
      <c r="C33" s="16">
        <v>0.1</v>
      </c>
      <c r="D33" s="32">
        <f>+$E$5*C33</f>
        <v>9965781.8000000007</v>
      </c>
      <c r="E33" s="35"/>
      <c r="F33" s="35"/>
      <c r="G33" s="18"/>
      <c r="I33" s="35"/>
      <c r="J33" s="35"/>
      <c r="K33" s="35"/>
      <c r="L33" s="35"/>
    </row>
    <row r="34" spans="1:12" x14ac:dyDescent="0.25">
      <c r="B34" s="13" t="s">
        <v>100</v>
      </c>
      <c r="C34" s="16"/>
      <c r="D34" s="32">
        <f>+$E$5*C34</f>
        <v>0</v>
      </c>
      <c r="E34" s="35"/>
      <c r="F34" s="35"/>
      <c r="G34" s="18"/>
      <c r="I34" s="35"/>
      <c r="J34" s="35"/>
      <c r="K34" s="35"/>
      <c r="L34" s="35"/>
    </row>
    <row r="35" spans="1:12" x14ac:dyDescent="0.25">
      <c r="B35" s="13" t="s">
        <v>101</v>
      </c>
      <c r="C35" s="16"/>
      <c r="D35" s="35"/>
      <c r="E35" s="35"/>
      <c r="F35" s="35"/>
      <c r="G35" s="35"/>
      <c r="I35" s="35"/>
      <c r="J35" s="35"/>
      <c r="K35" s="35"/>
      <c r="L35" s="35"/>
    </row>
    <row r="36" spans="1:12" x14ac:dyDescent="0.25">
      <c r="B36" s="13" t="s">
        <v>102</v>
      </c>
      <c r="C36" s="16"/>
      <c r="D36" s="32">
        <f>+$E$5*C36</f>
        <v>0</v>
      </c>
      <c r="E36" s="35"/>
      <c r="F36" s="35"/>
      <c r="G36" s="18"/>
      <c r="I36" s="35"/>
      <c r="J36" s="35"/>
      <c r="K36" s="35"/>
      <c r="L36" s="35"/>
    </row>
    <row r="37" spans="1:12" x14ac:dyDescent="0.25">
      <c r="B37" s="13" t="s">
        <v>103</v>
      </c>
      <c r="C37" s="16"/>
      <c r="D37" s="35"/>
      <c r="E37" s="35"/>
      <c r="F37" s="35"/>
      <c r="G37" s="35"/>
      <c r="I37" s="35"/>
      <c r="J37" s="35"/>
      <c r="K37" s="35"/>
      <c r="L37" s="35"/>
    </row>
    <row r="38" spans="1:12" x14ac:dyDescent="0.25">
      <c r="B38" s="13" t="s">
        <v>104</v>
      </c>
      <c r="C38" s="16"/>
      <c r="D38" s="32">
        <f>+$E$5*C38</f>
        <v>0</v>
      </c>
      <c r="E38" s="35"/>
      <c r="F38" s="35"/>
      <c r="G38" s="18"/>
      <c r="I38" s="35"/>
      <c r="J38" s="35"/>
      <c r="K38" s="35"/>
      <c r="L38" s="35"/>
    </row>
    <row r="39" spans="1:12" x14ac:dyDescent="0.25">
      <c r="B39" s="125" t="s">
        <v>31</v>
      </c>
      <c r="C39" s="16"/>
      <c r="D39" s="35"/>
      <c r="E39" s="33">
        <f>SUM(D33:D38)</f>
        <v>9965781.8000000007</v>
      </c>
      <c r="F39" s="38"/>
      <c r="G39" s="38"/>
      <c r="I39" s="35"/>
      <c r="J39" s="33"/>
      <c r="K39" s="33">
        <v>0</v>
      </c>
      <c r="L39" s="33">
        <f>J39-K39</f>
        <v>0</v>
      </c>
    </row>
    <row r="40" spans="1:12" x14ac:dyDescent="0.25">
      <c r="B40" s="20"/>
      <c r="C40" s="16"/>
      <c r="D40" s="70" t="s">
        <v>201</v>
      </c>
      <c r="E40" s="34">
        <f>E39*12%</f>
        <v>1195893.8160000001</v>
      </c>
      <c r="F40" s="38"/>
      <c r="G40" s="38"/>
      <c r="I40" s="35"/>
      <c r="J40" s="34"/>
      <c r="K40" s="34">
        <v>0</v>
      </c>
      <c r="L40" s="34">
        <f>J40-K40</f>
        <v>0</v>
      </c>
    </row>
    <row r="41" spans="1:12" x14ac:dyDescent="0.25">
      <c r="B41" s="20"/>
      <c r="C41" s="16"/>
      <c r="D41" s="70" t="s">
        <v>202</v>
      </c>
      <c r="E41" s="72">
        <f>-E39*4.5%</f>
        <v>-448460.18100000004</v>
      </c>
      <c r="F41" s="38"/>
      <c r="G41" s="38"/>
      <c r="I41" s="35"/>
      <c r="J41" s="72"/>
      <c r="K41" s="72">
        <v>0</v>
      </c>
      <c r="L41" s="72">
        <f>J41-K41</f>
        <v>0</v>
      </c>
    </row>
    <row r="42" spans="1:12" x14ac:dyDescent="0.25">
      <c r="B42" s="20"/>
      <c r="C42" s="16"/>
      <c r="D42" s="70" t="s">
        <v>41</v>
      </c>
      <c r="E42" s="34">
        <f>SUM(E39:E41)</f>
        <v>10713215.435000001</v>
      </c>
      <c r="F42" s="38"/>
      <c r="G42" s="38"/>
      <c r="I42" s="35"/>
      <c r="J42" s="34"/>
      <c r="K42" s="34">
        <v>0</v>
      </c>
      <c r="L42" s="34">
        <f>J42-K42</f>
        <v>0</v>
      </c>
    </row>
    <row r="43" spans="1:12" x14ac:dyDescent="0.25">
      <c r="B43" s="71" t="s">
        <v>316</v>
      </c>
      <c r="C43" s="16"/>
      <c r="D43" s="35"/>
      <c r="E43" s="35"/>
      <c r="F43" s="35"/>
      <c r="G43" s="35"/>
      <c r="I43" s="35"/>
      <c r="J43" s="35"/>
      <c r="K43" s="35"/>
      <c r="L43" s="35"/>
    </row>
    <row r="44" spans="1:12" x14ac:dyDescent="0.25">
      <c r="A44" s="71" t="s">
        <v>32</v>
      </c>
      <c r="B44" s="21" t="s">
        <v>320</v>
      </c>
      <c r="C44" s="16">
        <v>0.05</v>
      </c>
      <c r="D44" s="32">
        <f>+$E$5*C44</f>
        <v>4982890.9000000004</v>
      </c>
      <c r="E44" s="35"/>
      <c r="F44" s="35"/>
      <c r="G44" s="35"/>
      <c r="I44" s="35"/>
      <c r="J44" s="35"/>
      <c r="K44" s="35"/>
      <c r="L44" s="35"/>
    </row>
    <row r="45" spans="1:12" ht="30" x14ac:dyDescent="0.25">
      <c r="B45" s="21" t="s">
        <v>116</v>
      </c>
      <c r="C45" s="16"/>
      <c r="D45" s="32">
        <f>+$E$5*C45</f>
        <v>0</v>
      </c>
      <c r="E45" s="35"/>
      <c r="F45" s="35"/>
      <c r="G45" s="35"/>
      <c r="I45" s="35"/>
      <c r="J45" s="35"/>
      <c r="K45" s="35"/>
      <c r="L45" s="35"/>
    </row>
    <row r="46" spans="1:12" ht="45" x14ac:dyDescent="0.25">
      <c r="B46" s="21" t="s">
        <v>117</v>
      </c>
      <c r="C46" s="16"/>
      <c r="D46" s="32">
        <f>+$E$5*C46</f>
        <v>0</v>
      </c>
      <c r="E46" s="35"/>
      <c r="F46" s="35"/>
      <c r="G46" s="35"/>
      <c r="I46" s="35"/>
      <c r="J46" s="35"/>
      <c r="K46" s="35"/>
      <c r="L46" s="35"/>
    </row>
    <row r="47" spans="1:12" x14ac:dyDescent="0.25">
      <c r="B47" s="54"/>
      <c r="C47" s="16"/>
      <c r="D47" s="32">
        <f>+$E$5*C47</f>
        <v>0</v>
      </c>
      <c r="E47" s="35"/>
      <c r="F47" s="35"/>
      <c r="G47" s="35"/>
      <c r="I47" s="35"/>
      <c r="J47" s="35"/>
      <c r="K47" s="35"/>
      <c r="L47" s="35"/>
    </row>
    <row r="48" spans="1:12" x14ac:dyDescent="0.25">
      <c r="B48" s="54"/>
      <c r="C48" s="16"/>
      <c r="D48" s="32">
        <f>+$E$5*C48</f>
        <v>0</v>
      </c>
      <c r="E48" s="35"/>
      <c r="F48" s="35"/>
      <c r="G48" s="35"/>
      <c r="I48" s="35"/>
      <c r="J48" s="35"/>
      <c r="K48" s="35"/>
      <c r="L48" s="35"/>
    </row>
    <row r="49" spans="1:12" x14ac:dyDescent="0.25">
      <c r="B49" s="71" t="s">
        <v>34</v>
      </c>
      <c r="D49" s="35"/>
      <c r="E49" s="33">
        <f>SUM(D44:D48)</f>
        <v>4982890.9000000004</v>
      </c>
      <c r="F49" s="38"/>
      <c r="G49" s="38"/>
      <c r="I49" s="35"/>
      <c r="J49" s="33"/>
      <c r="K49" s="33">
        <v>0</v>
      </c>
      <c r="L49" s="33">
        <f>J49-K49</f>
        <v>0</v>
      </c>
    </row>
    <row r="50" spans="1:12" x14ac:dyDescent="0.25">
      <c r="B50" s="1"/>
      <c r="D50" s="70" t="s">
        <v>201</v>
      </c>
      <c r="E50" s="34">
        <f>E49*12%</f>
        <v>597946.90800000005</v>
      </c>
      <c r="F50" s="38"/>
      <c r="G50" s="38"/>
      <c r="I50" s="35"/>
      <c r="J50" s="34"/>
      <c r="K50" s="34">
        <v>0</v>
      </c>
      <c r="L50" s="34">
        <f>J50-K50</f>
        <v>0</v>
      </c>
    </row>
    <row r="51" spans="1:12" x14ac:dyDescent="0.25">
      <c r="B51" s="1"/>
      <c r="D51" s="70" t="s">
        <v>202</v>
      </c>
      <c r="E51" s="72">
        <f>-E49*4.5%</f>
        <v>-224230.09050000002</v>
      </c>
      <c r="F51" s="38"/>
      <c r="G51" s="38"/>
      <c r="I51" s="35"/>
      <c r="J51" s="72"/>
      <c r="K51" s="72">
        <v>0</v>
      </c>
      <c r="L51" s="72">
        <f>J51-K51</f>
        <v>0</v>
      </c>
    </row>
    <row r="52" spans="1:12" x14ac:dyDescent="0.25">
      <c r="B52" s="1"/>
      <c r="D52" s="70" t="s">
        <v>41</v>
      </c>
      <c r="E52" s="34">
        <f>SUM(E49:E51)</f>
        <v>5356607.7175000003</v>
      </c>
      <c r="F52" s="38"/>
      <c r="G52" s="38"/>
      <c r="I52" s="35"/>
      <c r="J52" s="34"/>
      <c r="K52" s="34">
        <v>0</v>
      </c>
      <c r="L52" s="34">
        <f>J52-K52</f>
        <v>0</v>
      </c>
    </row>
    <row r="53" spans="1:12" x14ac:dyDescent="0.25">
      <c r="B53" s="1"/>
      <c r="D53" s="70"/>
      <c r="E53" s="34"/>
      <c r="F53" s="38"/>
      <c r="G53" s="38"/>
      <c r="I53" s="35"/>
      <c r="J53" s="34"/>
      <c r="K53" s="34"/>
      <c r="L53" s="34"/>
    </row>
    <row r="54" spans="1:12" x14ac:dyDescent="0.25">
      <c r="B54" s="74" t="s">
        <v>203</v>
      </c>
      <c r="C54" s="75">
        <f>SUM(C7:C48)</f>
        <v>1</v>
      </c>
      <c r="D54" s="69"/>
      <c r="E54" s="76">
        <f>SUM(E7,E14,E21,E28,E39,E49)</f>
        <v>99657818</v>
      </c>
      <c r="F54" s="40"/>
      <c r="G54" s="40"/>
      <c r="I54" s="35"/>
      <c r="J54" s="76">
        <f>SUM(J7,J14,J21,J28,J39,J49)</f>
        <v>29897345.399999999</v>
      </c>
      <c r="K54" s="76">
        <f>SUM(K7,K14,K21,K28,K39,K49)</f>
        <v>0</v>
      </c>
      <c r="L54" s="76">
        <f>SUM(L7,L14,L21,L28,L39,L49)</f>
        <v>29897345.399999999</v>
      </c>
    </row>
    <row r="55" spans="1:12" x14ac:dyDescent="0.25">
      <c r="A55" s="1"/>
      <c r="B55" s="80" t="s">
        <v>201</v>
      </c>
      <c r="C55" s="77"/>
      <c r="D55" s="77"/>
      <c r="E55" s="34">
        <f>E54*12%</f>
        <v>11958938.16</v>
      </c>
      <c r="J55" s="34">
        <f>J54*12%</f>
        <v>3587681.4479999999</v>
      </c>
      <c r="K55" s="34">
        <f>K54*12%</f>
        <v>0</v>
      </c>
      <c r="L55" s="34">
        <f>L54*12%</f>
        <v>3587681.4479999999</v>
      </c>
    </row>
    <row r="56" spans="1:12" x14ac:dyDescent="0.25">
      <c r="B56" s="80" t="s">
        <v>202</v>
      </c>
      <c r="C56" s="77"/>
      <c r="D56" s="77"/>
      <c r="E56" s="72">
        <f>-E54*4.5%</f>
        <v>-4484601.8099999996</v>
      </c>
      <c r="J56" s="72">
        <f>-J54*4.5%</f>
        <v>-1345380.5429999998</v>
      </c>
      <c r="K56" s="72">
        <f>-K54*4.5%</f>
        <v>0</v>
      </c>
      <c r="L56" s="72">
        <f>-L54*4.5%</f>
        <v>-1345380.5429999998</v>
      </c>
    </row>
    <row r="57" spans="1:12" x14ac:dyDescent="0.25">
      <c r="B57" s="74" t="s">
        <v>41</v>
      </c>
      <c r="C57" s="77"/>
      <c r="D57" s="77"/>
      <c r="E57" s="34">
        <f>SUM(E54:E56)</f>
        <v>107132154.34999999</v>
      </c>
      <c r="J57" s="34">
        <f>SUM(J54:J56)</f>
        <v>32139646.304999996</v>
      </c>
      <c r="K57" s="34">
        <f>SUM(K54:K56)</f>
        <v>0</v>
      </c>
      <c r="L57" s="34">
        <f>SUM(L54:L56)</f>
        <v>32139646.304999996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N74"/>
  <sheetViews>
    <sheetView workbookViewId="0">
      <selection activeCell="N12" sqref="N12"/>
    </sheetView>
  </sheetViews>
  <sheetFormatPr defaultRowHeight="15" outlineLevelCol="1" x14ac:dyDescent="0.25"/>
  <cols>
    <col min="1" max="1" width="1.85546875" customWidth="1"/>
    <col min="2" max="2" width="15.85546875" bestFit="1" customWidth="1"/>
    <col min="3" max="3" width="18.5703125" customWidth="1"/>
    <col min="4" max="4" width="15.85546875" customWidth="1"/>
    <col min="5" max="5" width="19" style="77" customWidth="1"/>
    <col min="6" max="6" width="15.28515625" customWidth="1"/>
    <col min="7" max="7" width="18.85546875" hidden="1" customWidth="1" outlineLevel="1"/>
    <col min="8" max="8" width="13.28515625" hidden="1" customWidth="1" outlineLevel="1"/>
    <col min="9" max="9" width="14" hidden="1" customWidth="1" outlineLevel="1"/>
    <col min="10" max="10" width="20.28515625" customWidth="1" collapsed="1"/>
    <col min="11" max="11" width="15.28515625" customWidth="1"/>
    <col min="12" max="12" width="14.5703125" customWidth="1"/>
    <col min="13" max="14" width="14.28515625" bestFit="1" customWidth="1"/>
  </cols>
  <sheetData>
    <row r="2" spans="2:12" x14ac:dyDescent="0.25">
      <c r="E2" s="133" t="s">
        <v>342</v>
      </c>
      <c r="F2" s="133"/>
      <c r="G2" s="133"/>
    </row>
    <row r="3" spans="2:12" x14ac:dyDescent="0.25">
      <c r="E3"/>
      <c r="F3" s="106" t="s">
        <v>244</v>
      </c>
    </row>
    <row r="4" spans="2:12" x14ac:dyDescent="0.25">
      <c r="B4" s="106" t="s">
        <v>226</v>
      </c>
      <c r="C4" s="106" t="s">
        <v>43</v>
      </c>
      <c r="D4" s="106" t="s">
        <v>255</v>
      </c>
      <c r="E4" s="120" t="s">
        <v>254</v>
      </c>
      <c r="F4" t="s">
        <v>243</v>
      </c>
      <c r="G4" t="s">
        <v>245</v>
      </c>
      <c r="H4" t="s">
        <v>250</v>
      </c>
      <c r="I4" t="s">
        <v>252</v>
      </c>
      <c r="J4" t="s">
        <v>251</v>
      </c>
      <c r="K4" t="s">
        <v>246</v>
      </c>
      <c r="L4" t="s">
        <v>247</v>
      </c>
    </row>
    <row r="5" spans="2:12" x14ac:dyDescent="0.25">
      <c r="B5" t="s">
        <v>195</v>
      </c>
      <c r="C5" t="s">
        <v>231</v>
      </c>
      <c r="D5" s="2">
        <v>40311</v>
      </c>
      <c r="E5" s="121">
        <v>40273</v>
      </c>
      <c r="F5" s="102">
        <v>10421177.5</v>
      </c>
      <c r="G5" s="102">
        <v>10421177.5</v>
      </c>
      <c r="H5" s="102">
        <v>1250541.3</v>
      </c>
      <c r="I5" s="102">
        <v>-468952.98749999999</v>
      </c>
      <c r="J5" s="102">
        <v>11202765.8125</v>
      </c>
      <c r="K5" s="102">
        <v>10421177.5</v>
      </c>
      <c r="L5" s="102">
        <v>781588.3125</v>
      </c>
    </row>
    <row r="6" spans="2:12" x14ac:dyDescent="0.25">
      <c r="C6">
        <v>1</v>
      </c>
      <c r="D6" s="2">
        <v>40336</v>
      </c>
      <c r="E6" s="77" t="s">
        <v>306</v>
      </c>
      <c r="F6" s="102">
        <v>4168471</v>
      </c>
      <c r="G6" s="102">
        <v>4168471</v>
      </c>
      <c r="H6" s="102">
        <v>500216.51999999996</v>
      </c>
      <c r="I6" s="102">
        <v>-187581.19500000001</v>
      </c>
      <c r="J6" s="102">
        <v>4481106.3249999993</v>
      </c>
      <c r="K6" s="102">
        <v>0</v>
      </c>
      <c r="L6" s="102">
        <v>4481106.3249999993</v>
      </c>
    </row>
    <row r="7" spans="2:12" x14ac:dyDescent="0.25">
      <c r="C7">
        <v>2</v>
      </c>
      <c r="D7">
        <v>0</v>
      </c>
      <c r="E7" s="77" t="s">
        <v>306</v>
      </c>
      <c r="F7" s="102">
        <v>6252706.5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2">
        <v>0</v>
      </c>
    </row>
    <row r="8" spans="2:12" x14ac:dyDescent="0.25">
      <c r="C8">
        <v>3</v>
      </c>
      <c r="D8">
        <v>0</v>
      </c>
      <c r="E8" s="77" t="s">
        <v>306</v>
      </c>
      <c r="F8" s="102">
        <v>6252706.5</v>
      </c>
      <c r="G8" s="102">
        <v>0</v>
      </c>
      <c r="H8" s="102">
        <v>0</v>
      </c>
      <c r="I8" s="102">
        <v>0</v>
      </c>
      <c r="J8" s="102">
        <v>0</v>
      </c>
      <c r="K8" s="102">
        <v>0</v>
      </c>
      <c r="L8" s="102">
        <v>0</v>
      </c>
    </row>
    <row r="9" spans="2:12" x14ac:dyDescent="0.25">
      <c r="C9">
        <v>4</v>
      </c>
      <c r="D9">
        <v>0</v>
      </c>
      <c r="E9" s="77" t="s">
        <v>306</v>
      </c>
      <c r="F9" s="102">
        <v>4168471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</row>
    <row r="10" spans="2:12" x14ac:dyDescent="0.25">
      <c r="C10">
        <v>5</v>
      </c>
      <c r="D10">
        <v>0</v>
      </c>
      <c r="E10" s="77" t="s">
        <v>306</v>
      </c>
      <c r="F10" s="102">
        <v>4168471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</row>
    <row r="11" spans="2:12" x14ac:dyDescent="0.25">
      <c r="C11">
        <v>6</v>
      </c>
      <c r="D11">
        <v>0</v>
      </c>
      <c r="E11" s="77" t="s">
        <v>306</v>
      </c>
      <c r="F11" s="102">
        <v>2084235.5000000002</v>
      </c>
      <c r="G11" s="102">
        <v>0</v>
      </c>
      <c r="H11" s="102">
        <v>0</v>
      </c>
      <c r="I11" s="102">
        <v>0</v>
      </c>
      <c r="J11" s="102">
        <v>0</v>
      </c>
      <c r="K11" s="102">
        <v>0</v>
      </c>
      <c r="L11" s="102">
        <v>0</v>
      </c>
    </row>
    <row r="12" spans="2:12" x14ac:dyDescent="0.25">
      <c r="C12">
        <v>7</v>
      </c>
      <c r="D12">
        <v>0</v>
      </c>
      <c r="E12" s="77" t="s">
        <v>306</v>
      </c>
      <c r="F12" s="102">
        <v>2084235.5000000002</v>
      </c>
      <c r="G12" s="102">
        <v>0</v>
      </c>
      <c r="H12" s="102">
        <v>0</v>
      </c>
      <c r="I12" s="102">
        <v>0</v>
      </c>
      <c r="J12" s="102">
        <v>0</v>
      </c>
      <c r="K12" s="102">
        <v>0</v>
      </c>
      <c r="L12" s="102">
        <v>0</v>
      </c>
    </row>
    <row r="13" spans="2:12" x14ac:dyDescent="0.25">
      <c r="C13">
        <v>8</v>
      </c>
      <c r="D13">
        <v>0</v>
      </c>
      <c r="E13" s="77" t="s">
        <v>306</v>
      </c>
      <c r="F13" s="102">
        <v>2084235.5000000002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</row>
    <row r="14" spans="2:12" x14ac:dyDescent="0.25">
      <c r="B14" s="77" t="s">
        <v>238</v>
      </c>
      <c r="C14" s="77"/>
      <c r="D14" s="77"/>
      <c r="F14" s="102">
        <v>41684710</v>
      </c>
      <c r="G14" s="102">
        <v>14589648.5</v>
      </c>
      <c r="H14" s="102">
        <v>1750757.82</v>
      </c>
      <c r="I14" s="102">
        <v>-656534.1825</v>
      </c>
      <c r="J14" s="102">
        <v>15683872.137499999</v>
      </c>
      <c r="K14" s="102">
        <v>10421177.5</v>
      </c>
      <c r="L14" s="102">
        <v>5262694.6374999993</v>
      </c>
    </row>
    <row r="15" spans="2:12" x14ac:dyDescent="0.25">
      <c r="B15" t="s">
        <v>229</v>
      </c>
      <c r="C15" t="s">
        <v>231</v>
      </c>
      <c r="D15" s="2">
        <v>40199</v>
      </c>
      <c r="E15" s="121">
        <v>40203</v>
      </c>
      <c r="F15" s="130">
        <v>10483646.75</v>
      </c>
      <c r="G15" s="102">
        <v>10483646.75</v>
      </c>
      <c r="H15" s="102">
        <v>1258037.6099999999</v>
      </c>
      <c r="I15" s="102">
        <v>-471764.10375000001</v>
      </c>
      <c r="J15" s="102">
        <v>11269920.25625</v>
      </c>
      <c r="K15" s="102">
        <v>4507968.4249999998</v>
      </c>
      <c r="L15" s="102">
        <v>6761951.8312499998</v>
      </c>
    </row>
    <row r="16" spans="2:12" x14ac:dyDescent="0.25">
      <c r="C16">
        <v>1</v>
      </c>
      <c r="D16" s="2">
        <v>40274</v>
      </c>
      <c r="E16" s="121">
        <v>40283</v>
      </c>
      <c r="F16" s="130">
        <v>4193458.7</v>
      </c>
      <c r="G16" s="102">
        <v>4193458.7</v>
      </c>
      <c r="H16" s="102">
        <v>503215.04399999999</v>
      </c>
      <c r="I16" s="102">
        <v>-188705.6415</v>
      </c>
      <c r="J16" s="102">
        <v>4507968.1025</v>
      </c>
      <c r="K16" s="102">
        <v>11269920.25625</v>
      </c>
      <c r="L16" s="102">
        <v>-6761952.1537499996</v>
      </c>
    </row>
    <row r="17" spans="2:14" x14ac:dyDescent="0.25">
      <c r="C17">
        <v>2</v>
      </c>
      <c r="D17" s="2">
        <v>40274</v>
      </c>
      <c r="E17" s="77" t="s">
        <v>307</v>
      </c>
      <c r="F17" s="130">
        <v>2096729.35</v>
      </c>
      <c r="G17" s="102">
        <v>2096729.35</v>
      </c>
      <c r="H17" s="102">
        <v>251607.522</v>
      </c>
      <c r="I17" s="102">
        <v>-94352.820749999999</v>
      </c>
      <c r="J17" s="102">
        <v>2253984.05125</v>
      </c>
      <c r="K17" s="102">
        <v>2253984.05125</v>
      </c>
      <c r="L17" s="102">
        <v>0</v>
      </c>
      <c r="M17" s="102"/>
      <c r="N17" s="102"/>
    </row>
    <row r="18" spans="2:14" x14ac:dyDescent="0.25">
      <c r="C18">
        <v>3</v>
      </c>
      <c r="D18" s="2">
        <v>40275</v>
      </c>
      <c r="E18" s="121">
        <v>43979</v>
      </c>
      <c r="F18" s="130">
        <v>6290188.0500000007</v>
      </c>
      <c r="G18" s="102">
        <v>6290188.0500000007</v>
      </c>
      <c r="H18" s="102">
        <v>754822.56600000011</v>
      </c>
      <c r="I18" s="102">
        <v>-283058.46225000004</v>
      </c>
      <c r="J18" s="102">
        <v>6761952.1537500005</v>
      </c>
      <c r="K18" s="102">
        <v>6761952.1537500005</v>
      </c>
      <c r="L18" s="102">
        <v>0</v>
      </c>
    </row>
    <row r="19" spans="2:14" x14ac:dyDescent="0.25">
      <c r="C19">
        <v>4</v>
      </c>
      <c r="D19" s="2">
        <v>40311</v>
      </c>
      <c r="E19" s="121">
        <v>43979</v>
      </c>
      <c r="F19" s="130">
        <v>6290188.0499999989</v>
      </c>
      <c r="G19" s="102">
        <v>6290188.0499999989</v>
      </c>
      <c r="H19" s="102">
        <v>754822.56599999988</v>
      </c>
      <c r="I19" s="102">
        <v>-283058.46224999992</v>
      </c>
      <c r="J19" s="102">
        <v>6761952.1537499987</v>
      </c>
      <c r="K19" s="102">
        <v>6761952.1537499987</v>
      </c>
      <c r="L19" s="102">
        <v>0</v>
      </c>
    </row>
    <row r="20" spans="2:14" x14ac:dyDescent="0.25">
      <c r="C20">
        <v>5</v>
      </c>
      <c r="D20" s="2">
        <v>40311</v>
      </c>
      <c r="E20" s="77" t="s">
        <v>306</v>
      </c>
      <c r="F20" s="130">
        <v>6290188.0500000007</v>
      </c>
      <c r="G20" s="102">
        <v>6290188.0500000007</v>
      </c>
      <c r="H20" s="102">
        <v>754822.56600000011</v>
      </c>
      <c r="I20" s="102">
        <v>-283058.46225000004</v>
      </c>
      <c r="J20" s="102">
        <v>6761952.1537500005</v>
      </c>
      <c r="K20" s="102">
        <v>0</v>
      </c>
      <c r="L20" s="102">
        <v>6761952.1537500005</v>
      </c>
    </row>
    <row r="21" spans="2:14" x14ac:dyDescent="0.25">
      <c r="C21">
        <v>6</v>
      </c>
      <c r="D21" s="2">
        <v>40311</v>
      </c>
      <c r="E21" s="77" t="s">
        <v>306</v>
      </c>
      <c r="F21" s="130">
        <v>2096729.35</v>
      </c>
      <c r="G21" s="102">
        <v>2096729.35</v>
      </c>
      <c r="H21" s="102">
        <v>251607.522</v>
      </c>
      <c r="I21" s="102">
        <v>-94352.820749999999</v>
      </c>
      <c r="J21" s="102">
        <v>2253984.05125</v>
      </c>
      <c r="K21" s="102">
        <v>0</v>
      </c>
      <c r="L21" s="102">
        <v>2253984.05125</v>
      </c>
      <c r="M21" s="102"/>
      <c r="N21" s="102"/>
    </row>
    <row r="22" spans="2:14" x14ac:dyDescent="0.25">
      <c r="C22">
        <v>7</v>
      </c>
      <c r="D22" s="2">
        <v>40337</v>
      </c>
      <c r="E22" s="77" t="s">
        <v>306</v>
      </c>
      <c r="F22" s="130">
        <v>2096729.3500000003</v>
      </c>
      <c r="G22" s="102">
        <v>2096729.3500000003</v>
      </c>
      <c r="H22" s="102">
        <v>251607.52200000003</v>
      </c>
      <c r="I22" s="102">
        <v>-94352.820750000014</v>
      </c>
      <c r="J22" s="102">
        <v>2253984.0512500005</v>
      </c>
      <c r="K22" s="102">
        <v>0</v>
      </c>
      <c r="L22" s="102">
        <v>2253984.0512500005</v>
      </c>
    </row>
    <row r="23" spans="2:14" x14ac:dyDescent="0.25">
      <c r="C23">
        <v>8</v>
      </c>
      <c r="D23" s="2">
        <v>40337</v>
      </c>
      <c r="E23" s="77" t="s">
        <v>306</v>
      </c>
      <c r="F23" s="130">
        <v>2096729.35</v>
      </c>
      <c r="G23" s="102">
        <v>2096729.35</v>
      </c>
      <c r="H23" s="102">
        <v>251607.522</v>
      </c>
      <c r="I23" s="102">
        <v>-94352.820749999999</v>
      </c>
      <c r="J23" s="102">
        <v>2253984.05125</v>
      </c>
      <c r="K23" s="102">
        <v>0</v>
      </c>
      <c r="L23" s="102">
        <v>2253984.05125</v>
      </c>
    </row>
    <row r="24" spans="2:14" x14ac:dyDescent="0.25">
      <c r="C24" t="s">
        <v>265</v>
      </c>
      <c r="D24" s="2">
        <v>40330</v>
      </c>
      <c r="E24" s="77" t="s">
        <v>306</v>
      </c>
      <c r="F24" s="130">
        <v>374843.74999999994</v>
      </c>
      <c r="G24" s="102">
        <v>374843.74999999994</v>
      </c>
      <c r="H24" s="102">
        <v>44981.249999999993</v>
      </c>
      <c r="I24" s="102">
        <v>-16867.968749999996</v>
      </c>
      <c r="J24" s="102">
        <v>402957.03124999994</v>
      </c>
      <c r="K24" s="102">
        <v>0</v>
      </c>
      <c r="L24" s="102">
        <v>402957.03124999994</v>
      </c>
    </row>
    <row r="25" spans="2:14" x14ac:dyDescent="0.25">
      <c r="C25" t="s">
        <v>275</v>
      </c>
      <c r="D25" s="2">
        <v>40330</v>
      </c>
      <c r="E25" s="77" t="s">
        <v>306</v>
      </c>
      <c r="F25" s="130">
        <v>730291.41071428568</v>
      </c>
      <c r="G25" s="102">
        <v>730291.41071428568</v>
      </c>
      <c r="H25" s="102">
        <v>87634.96928571428</v>
      </c>
      <c r="I25" s="102">
        <v>-32863.113482142857</v>
      </c>
      <c r="J25" s="102">
        <v>785063.26651785709</v>
      </c>
      <c r="K25" s="102">
        <v>0</v>
      </c>
      <c r="L25" s="102">
        <v>785063.26651785709</v>
      </c>
      <c r="M25" s="102"/>
      <c r="N25" s="102"/>
    </row>
    <row r="26" spans="2:14" x14ac:dyDescent="0.25">
      <c r="B26" s="77" t="s">
        <v>239</v>
      </c>
      <c r="C26" s="77"/>
      <c r="D26" s="77"/>
      <c r="F26" s="102">
        <v>43039722.160714291</v>
      </c>
      <c r="G26" s="102">
        <v>43039722.160714291</v>
      </c>
      <c r="H26" s="102">
        <v>5164766.6592857139</v>
      </c>
      <c r="I26" s="102">
        <v>-1936787.4972321426</v>
      </c>
      <c r="J26" s="102">
        <v>46267701.322767861</v>
      </c>
      <c r="K26" s="102">
        <v>31555777.039999995</v>
      </c>
      <c r="L26" s="102">
        <v>14711924.282767856</v>
      </c>
      <c r="N26" s="102"/>
    </row>
    <row r="27" spans="2:14" x14ac:dyDescent="0.25">
      <c r="B27" t="s">
        <v>227</v>
      </c>
      <c r="C27" t="s">
        <v>231</v>
      </c>
      <c r="D27" s="2">
        <v>40015</v>
      </c>
      <c r="E27" s="77" t="s">
        <v>132</v>
      </c>
      <c r="F27" s="102">
        <v>1021895</v>
      </c>
      <c r="G27" s="102">
        <v>1021895</v>
      </c>
      <c r="H27" s="102">
        <v>122627.4</v>
      </c>
      <c r="I27" s="102">
        <v>-45985.275000000001</v>
      </c>
      <c r="J27" s="102">
        <v>1098537.125</v>
      </c>
      <c r="K27" s="102">
        <v>1144522.3999999999</v>
      </c>
      <c r="L27" s="102">
        <v>-45985.274999999907</v>
      </c>
    </row>
    <row r="28" spans="2:14" x14ac:dyDescent="0.25">
      <c r="C28">
        <v>1</v>
      </c>
      <c r="D28" t="s">
        <v>151</v>
      </c>
      <c r="E28" s="121">
        <v>40111</v>
      </c>
      <c r="F28" s="102">
        <v>2554737.5</v>
      </c>
      <c r="G28" s="102">
        <v>2554737.5</v>
      </c>
      <c r="H28" s="102">
        <v>306568.5</v>
      </c>
      <c r="I28" s="102">
        <v>-114963.1875</v>
      </c>
      <c r="J28" s="102">
        <v>2746342.8125</v>
      </c>
      <c r="K28" s="102">
        <v>2700357.5325000002</v>
      </c>
      <c r="L28" s="102">
        <v>45985.279999999795</v>
      </c>
    </row>
    <row r="29" spans="2:14" x14ac:dyDescent="0.25">
      <c r="C29">
        <v>2</v>
      </c>
      <c r="D29" t="s">
        <v>151</v>
      </c>
      <c r="E29" s="121">
        <v>40217</v>
      </c>
      <c r="F29" s="102">
        <v>1021895</v>
      </c>
      <c r="G29" s="102">
        <v>510947.5</v>
      </c>
      <c r="H29" s="102">
        <v>61313.7</v>
      </c>
      <c r="I29" s="102">
        <v>-22992.637500000001</v>
      </c>
      <c r="J29" s="102">
        <v>549268.5625</v>
      </c>
      <c r="K29" s="102">
        <v>549268.5625</v>
      </c>
      <c r="L29" s="102">
        <v>0</v>
      </c>
    </row>
    <row r="30" spans="2:14" x14ac:dyDescent="0.25">
      <c r="C30">
        <v>3</v>
      </c>
      <c r="D30" s="2">
        <v>40219</v>
      </c>
      <c r="E30" s="121">
        <v>40220</v>
      </c>
      <c r="F30" s="102">
        <v>1532842.5</v>
      </c>
      <c r="G30" s="102">
        <v>1532842.5</v>
      </c>
      <c r="H30" s="102">
        <v>183941.1</v>
      </c>
      <c r="I30" s="102">
        <v>-68977.912499999991</v>
      </c>
      <c r="J30" s="102">
        <v>1647805.6875</v>
      </c>
      <c r="K30" s="102">
        <v>1647805.6875</v>
      </c>
      <c r="L30" s="102">
        <v>0</v>
      </c>
    </row>
    <row r="31" spans="2:14" x14ac:dyDescent="0.25">
      <c r="C31">
        <v>4</v>
      </c>
      <c r="D31" s="2">
        <v>40302</v>
      </c>
      <c r="E31" s="77" t="s">
        <v>306</v>
      </c>
      <c r="F31" s="102">
        <v>1021895</v>
      </c>
      <c r="G31" s="102">
        <v>1532842.5</v>
      </c>
      <c r="H31" s="102">
        <v>183941.1</v>
      </c>
      <c r="I31" s="102">
        <v>-68977.912499999991</v>
      </c>
      <c r="J31" s="102">
        <v>1647805.6875</v>
      </c>
      <c r="K31" s="102">
        <v>0</v>
      </c>
      <c r="L31" s="102">
        <v>1647805.6875</v>
      </c>
    </row>
    <row r="32" spans="2:14" x14ac:dyDescent="0.25">
      <c r="C32">
        <v>5</v>
      </c>
      <c r="D32" s="2">
        <v>40302</v>
      </c>
      <c r="E32" s="77" t="s">
        <v>306</v>
      </c>
      <c r="F32" s="102">
        <v>1021895</v>
      </c>
      <c r="G32" s="102">
        <v>1021895</v>
      </c>
      <c r="H32" s="102">
        <v>122627.4</v>
      </c>
      <c r="I32" s="102">
        <v>-45985.275000000001</v>
      </c>
      <c r="J32" s="102">
        <v>1098537.125</v>
      </c>
      <c r="K32" s="102">
        <v>0</v>
      </c>
      <c r="L32" s="102">
        <v>1098537.125</v>
      </c>
    </row>
    <row r="33" spans="2:12" x14ac:dyDescent="0.25">
      <c r="C33">
        <v>6</v>
      </c>
      <c r="D33" s="2">
        <v>40302</v>
      </c>
      <c r="E33" s="77" t="s">
        <v>306</v>
      </c>
      <c r="F33" s="102">
        <v>1532842.5</v>
      </c>
      <c r="G33" s="102">
        <v>1532842.5</v>
      </c>
      <c r="H33" s="102">
        <v>183941.1</v>
      </c>
      <c r="I33" s="102">
        <v>-68977.912499999991</v>
      </c>
      <c r="J33" s="102">
        <v>1647805.6875</v>
      </c>
      <c r="K33" s="102">
        <v>0</v>
      </c>
      <c r="L33" s="102">
        <v>1647805.6875</v>
      </c>
    </row>
    <row r="34" spans="2:12" x14ac:dyDescent="0.25">
      <c r="C34">
        <v>7</v>
      </c>
      <c r="D34" s="2">
        <v>40302</v>
      </c>
      <c r="E34" s="77" t="s">
        <v>306</v>
      </c>
      <c r="F34" s="102">
        <v>510947.5</v>
      </c>
      <c r="G34" s="102">
        <v>510947.5</v>
      </c>
      <c r="H34" s="102">
        <v>61313.7</v>
      </c>
      <c r="I34" s="102">
        <v>-22992.637500000001</v>
      </c>
      <c r="J34" s="102">
        <v>549268.5625</v>
      </c>
      <c r="K34" s="102">
        <v>0</v>
      </c>
      <c r="L34" s="102">
        <v>549268.5625</v>
      </c>
    </row>
    <row r="35" spans="2:12" x14ac:dyDescent="0.25">
      <c r="C35" t="s">
        <v>296</v>
      </c>
      <c r="D35" s="2">
        <v>40331</v>
      </c>
      <c r="E35" s="77" t="s">
        <v>306</v>
      </c>
      <c r="F35" s="102">
        <v>3393615.4999999995</v>
      </c>
      <c r="G35" s="102">
        <v>3393615.4999999995</v>
      </c>
      <c r="H35" s="102">
        <v>407233.85999999993</v>
      </c>
      <c r="I35" s="102">
        <v>-152712.69749999998</v>
      </c>
      <c r="J35" s="102">
        <v>3648136.6624999996</v>
      </c>
      <c r="K35" s="102">
        <v>0</v>
      </c>
      <c r="L35" s="102">
        <v>3648136.6624999996</v>
      </c>
    </row>
    <row r="36" spans="2:12" x14ac:dyDescent="0.25">
      <c r="C36" t="s">
        <v>298</v>
      </c>
      <c r="D36" s="2">
        <v>40331</v>
      </c>
      <c r="E36" s="77" t="s">
        <v>306</v>
      </c>
      <c r="F36" s="102">
        <v>2048962.3749999998</v>
      </c>
      <c r="G36" s="102">
        <v>2048962.3749999998</v>
      </c>
      <c r="H36" s="102">
        <v>245875.48499999996</v>
      </c>
      <c r="I36" s="102">
        <v>-92203.30687499998</v>
      </c>
      <c r="J36" s="102">
        <v>2202634.5531250001</v>
      </c>
      <c r="K36" s="102">
        <v>0</v>
      </c>
      <c r="L36" s="102">
        <v>2202634.5531250001</v>
      </c>
    </row>
    <row r="37" spans="2:12" x14ac:dyDescent="0.25">
      <c r="B37" s="77" t="s">
        <v>240</v>
      </c>
      <c r="C37" s="77"/>
      <c r="D37" s="77"/>
      <c r="F37" s="102">
        <v>15661527.875</v>
      </c>
      <c r="G37" s="102">
        <v>15661527.875</v>
      </c>
      <c r="H37" s="102">
        <v>1879383.3449999997</v>
      </c>
      <c r="I37" s="102">
        <v>-704768.75437500002</v>
      </c>
      <c r="J37" s="102">
        <v>16836142.465624999</v>
      </c>
      <c r="K37" s="102">
        <v>6041954.1825000001</v>
      </c>
      <c r="L37" s="102">
        <v>10794188.283125</v>
      </c>
    </row>
    <row r="38" spans="2:12" x14ac:dyDescent="0.25">
      <c r="B38" t="s">
        <v>228</v>
      </c>
      <c r="C38" t="s">
        <v>231</v>
      </c>
      <c r="D38" s="2">
        <v>40015</v>
      </c>
      <c r="E38" s="77" t="s">
        <v>134</v>
      </c>
      <c r="F38" s="102">
        <v>1126815</v>
      </c>
      <c r="G38" s="102">
        <v>1126815</v>
      </c>
      <c r="H38" s="102">
        <v>135217.79999999999</v>
      </c>
      <c r="I38" s="102">
        <v>-50706.674999999996</v>
      </c>
      <c r="J38" s="102">
        <v>1211326.125</v>
      </c>
      <c r="K38" s="102">
        <v>1262032.8</v>
      </c>
      <c r="L38" s="102">
        <v>-50706.675000000047</v>
      </c>
    </row>
    <row r="39" spans="2:12" x14ac:dyDescent="0.25">
      <c r="C39">
        <v>1</v>
      </c>
      <c r="D39" t="s">
        <v>151</v>
      </c>
      <c r="E39" s="121">
        <v>40111</v>
      </c>
      <c r="F39" s="102">
        <v>2817037.5</v>
      </c>
      <c r="G39" s="102">
        <v>2817037.5</v>
      </c>
      <c r="H39" s="102">
        <v>338044.5</v>
      </c>
      <c r="I39" s="102">
        <v>-126766.6875</v>
      </c>
      <c r="J39" s="102">
        <v>3028315.3125</v>
      </c>
      <c r="K39" s="102">
        <v>2977608.6324999998</v>
      </c>
      <c r="L39" s="102">
        <v>50706.680000000168</v>
      </c>
    </row>
    <row r="40" spans="2:12" x14ac:dyDescent="0.25">
      <c r="C40">
        <v>2</v>
      </c>
      <c r="D40" t="s">
        <v>151</v>
      </c>
      <c r="E40" s="121">
        <v>40217</v>
      </c>
      <c r="F40" s="102">
        <v>1126815</v>
      </c>
      <c r="G40" s="102">
        <v>563407.5</v>
      </c>
      <c r="H40" s="102">
        <v>67608.899999999994</v>
      </c>
      <c r="I40" s="102">
        <v>-25353.337499999998</v>
      </c>
      <c r="J40" s="102">
        <v>605663.0625</v>
      </c>
      <c r="K40" s="102">
        <v>605663.0625</v>
      </c>
      <c r="L40" s="102">
        <v>0</v>
      </c>
    </row>
    <row r="41" spans="2:12" x14ac:dyDescent="0.25">
      <c r="C41">
        <v>3</v>
      </c>
      <c r="D41" s="2">
        <v>40219</v>
      </c>
      <c r="E41" s="121">
        <v>40220</v>
      </c>
      <c r="F41" s="102">
        <v>1690222.5</v>
      </c>
      <c r="G41" s="102">
        <v>1690222.5</v>
      </c>
      <c r="H41" s="102">
        <v>202826.69999999998</v>
      </c>
      <c r="I41" s="102">
        <v>-76060.012499999997</v>
      </c>
      <c r="J41" s="102">
        <v>1816989.1875</v>
      </c>
      <c r="K41" s="102">
        <v>1816989.1875</v>
      </c>
      <c r="L41" s="102">
        <v>0</v>
      </c>
    </row>
    <row r="42" spans="2:12" x14ac:dyDescent="0.25">
      <c r="C42">
        <v>4</v>
      </c>
      <c r="D42" s="2">
        <v>40302</v>
      </c>
      <c r="E42" s="77" t="s">
        <v>306</v>
      </c>
      <c r="F42" s="102">
        <v>1126815</v>
      </c>
      <c r="G42" s="102">
        <v>1663222.5</v>
      </c>
      <c r="H42" s="102">
        <v>199586.69999999998</v>
      </c>
      <c r="I42" s="102">
        <v>-74845.012499999997</v>
      </c>
      <c r="J42" s="102">
        <v>1787964.1875</v>
      </c>
      <c r="K42" s="102">
        <v>0</v>
      </c>
      <c r="L42" s="102">
        <v>1787964.1875</v>
      </c>
    </row>
    <row r="43" spans="2:12" x14ac:dyDescent="0.25">
      <c r="C43">
        <v>5</v>
      </c>
      <c r="D43" s="2">
        <v>40302</v>
      </c>
      <c r="E43" s="77" t="s">
        <v>306</v>
      </c>
      <c r="F43" s="102">
        <v>1126815</v>
      </c>
      <c r="G43" s="102">
        <v>1126815</v>
      </c>
      <c r="H43" s="102">
        <v>135217.79999999999</v>
      </c>
      <c r="I43" s="102">
        <v>-50706.674999999996</v>
      </c>
      <c r="J43" s="102">
        <v>1211326.125</v>
      </c>
      <c r="K43" s="102">
        <v>0</v>
      </c>
      <c r="L43" s="102">
        <v>1211326.125</v>
      </c>
    </row>
    <row r="44" spans="2:12" x14ac:dyDescent="0.25">
      <c r="C44">
        <v>6</v>
      </c>
      <c r="D44" s="2">
        <v>40302</v>
      </c>
      <c r="E44" s="77" t="s">
        <v>306</v>
      </c>
      <c r="F44" s="102">
        <v>1690222.5</v>
      </c>
      <c r="G44" s="102">
        <v>1690222.5</v>
      </c>
      <c r="H44" s="102">
        <v>202826.69999999998</v>
      </c>
      <c r="I44" s="102">
        <v>-76060.012499999997</v>
      </c>
      <c r="J44" s="102">
        <v>1816989.1875</v>
      </c>
      <c r="K44" s="102">
        <v>0</v>
      </c>
      <c r="L44" s="102">
        <v>1816989.1875</v>
      </c>
    </row>
    <row r="45" spans="2:12" x14ac:dyDescent="0.25">
      <c r="C45">
        <v>7</v>
      </c>
      <c r="D45" s="2">
        <v>40302</v>
      </c>
      <c r="E45" s="77" t="s">
        <v>306</v>
      </c>
      <c r="F45" s="102">
        <v>563407.5</v>
      </c>
      <c r="G45" s="102">
        <v>563407.5</v>
      </c>
      <c r="H45" s="102">
        <v>67608.899999999994</v>
      </c>
      <c r="I45" s="102">
        <v>-25353.337499999998</v>
      </c>
      <c r="J45" s="102">
        <v>605663.0625</v>
      </c>
      <c r="K45" s="102">
        <v>0</v>
      </c>
      <c r="L45" s="102">
        <v>605663.0625</v>
      </c>
    </row>
    <row r="46" spans="2:12" x14ac:dyDescent="0.25">
      <c r="B46" s="77" t="s">
        <v>241</v>
      </c>
      <c r="C46" s="77"/>
      <c r="D46" s="77"/>
      <c r="F46" s="102">
        <v>11268150</v>
      </c>
      <c r="G46" s="102">
        <v>11241150</v>
      </c>
      <c r="H46" s="102">
        <v>1348937.9999999998</v>
      </c>
      <c r="I46" s="102">
        <v>-505851.75</v>
      </c>
      <c r="J46" s="102">
        <v>12084236.25</v>
      </c>
      <c r="K46" s="102">
        <v>6662293.6825000001</v>
      </c>
      <c r="L46" s="102">
        <v>5421942.5674999999</v>
      </c>
    </row>
    <row r="47" spans="2:12" x14ac:dyDescent="0.25">
      <c r="B47" t="s">
        <v>230</v>
      </c>
      <c r="C47" t="s">
        <v>231</v>
      </c>
      <c r="D47" s="2">
        <v>40088</v>
      </c>
      <c r="E47" s="121">
        <v>40096</v>
      </c>
      <c r="F47" s="102">
        <v>9890000</v>
      </c>
      <c r="G47" s="102">
        <v>9890000</v>
      </c>
      <c r="H47" s="102">
        <v>0</v>
      </c>
      <c r="I47" s="102">
        <v>0</v>
      </c>
      <c r="J47" s="102">
        <v>9890000</v>
      </c>
      <c r="K47" s="102">
        <v>9890000</v>
      </c>
      <c r="L47" s="102">
        <v>0</v>
      </c>
    </row>
    <row r="48" spans="2:12" x14ac:dyDescent="0.25">
      <c r="C48" t="s">
        <v>232</v>
      </c>
      <c r="D48" s="2">
        <v>40254</v>
      </c>
      <c r="E48" s="77" t="s">
        <v>306</v>
      </c>
      <c r="F48" s="102">
        <v>4945000</v>
      </c>
      <c r="G48" s="102">
        <v>4945000</v>
      </c>
      <c r="H48" s="102">
        <v>0</v>
      </c>
      <c r="I48" s="102">
        <v>0</v>
      </c>
      <c r="J48" s="102">
        <v>4945000</v>
      </c>
      <c r="K48" s="102">
        <v>4945000</v>
      </c>
      <c r="L48" s="102">
        <v>0</v>
      </c>
    </row>
    <row r="49" spans="2:12" x14ac:dyDescent="0.25">
      <c r="C49" t="s">
        <v>233</v>
      </c>
      <c r="D49" s="2">
        <v>40254</v>
      </c>
      <c r="E49" s="77" t="s">
        <v>306</v>
      </c>
      <c r="F49" s="102">
        <v>4945000</v>
      </c>
      <c r="G49" s="102">
        <v>4945000</v>
      </c>
      <c r="H49" s="102">
        <v>0</v>
      </c>
      <c r="I49" s="102">
        <v>0</v>
      </c>
      <c r="J49" s="102">
        <v>4945000</v>
      </c>
      <c r="K49" s="102">
        <v>0</v>
      </c>
      <c r="L49" s="102">
        <v>4945000</v>
      </c>
    </row>
    <row r="50" spans="2:12" x14ac:dyDescent="0.25">
      <c r="B50" s="77" t="s">
        <v>242</v>
      </c>
      <c r="C50" s="77"/>
      <c r="D50" s="77"/>
      <c r="F50" s="102">
        <v>19780000</v>
      </c>
      <c r="G50" s="102">
        <v>19780000</v>
      </c>
      <c r="H50" s="102">
        <v>0</v>
      </c>
      <c r="I50" s="102">
        <v>0</v>
      </c>
      <c r="J50" s="102">
        <v>19780000</v>
      </c>
      <c r="K50" s="102">
        <v>14835000</v>
      </c>
      <c r="L50" s="102">
        <v>4945000</v>
      </c>
    </row>
    <row r="51" spans="2:12" x14ac:dyDescent="0.25">
      <c r="B51" t="s">
        <v>308</v>
      </c>
      <c r="C51" t="s">
        <v>311</v>
      </c>
      <c r="D51" s="103" t="s">
        <v>312</v>
      </c>
      <c r="E51" s="103" t="s">
        <v>313</v>
      </c>
      <c r="F51" s="107">
        <v>26785714.285714284</v>
      </c>
      <c r="G51" s="107">
        <v>26785714.285714284</v>
      </c>
      <c r="H51" s="107">
        <v>3214285.7142857141</v>
      </c>
      <c r="I51" s="107">
        <v>0</v>
      </c>
      <c r="J51" s="107">
        <v>29999999.999999996</v>
      </c>
      <c r="K51" s="107">
        <v>30000000</v>
      </c>
      <c r="L51" s="107">
        <v>0</v>
      </c>
    </row>
    <row r="52" spans="2:12" x14ac:dyDescent="0.25">
      <c r="D52" s="132">
        <v>40428</v>
      </c>
      <c r="E52" s="103" t="s">
        <v>313</v>
      </c>
      <c r="F52" s="107">
        <v>13928571.428571427</v>
      </c>
      <c r="G52" s="107">
        <v>13928571.428571427</v>
      </c>
      <c r="H52" s="107">
        <v>1671428.5714285711</v>
      </c>
      <c r="I52" s="107">
        <v>0</v>
      </c>
      <c r="J52" s="107">
        <v>15599999.999999998</v>
      </c>
      <c r="K52" s="107">
        <v>15600000</v>
      </c>
      <c r="L52" s="107">
        <v>0</v>
      </c>
    </row>
    <row r="53" spans="2:12" x14ac:dyDescent="0.25">
      <c r="B53" t="s">
        <v>310</v>
      </c>
      <c r="E53"/>
      <c r="F53" s="102">
        <v>40714285.714285709</v>
      </c>
      <c r="G53" s="102">
        <v>40714285.714285709</v>
      </c>
      <c r="H53" s="102">
        <v>4885714.2857142854</v>
      </c>
      <c r="I53" s="102">
        <v>0</v>
      </c>
      <c r="J53" s="102">
        <v>45599999.999999993</v>
      </c>
      <c r="K53" s="102">
        <v>45600000</v>
      </c>
      <c r="L53" s="102">
        <v>0</v>
      </c>
    </row>
    <row r="54" spans="2:12" x14ac:dyDescent="0.25">
      <c r="B54" t="s">
        <v>317</v>
      </c>
      <c r="C54" t="s">
        <v>231</v>
      </c>
      <c r="D54" s="126" t="s">
        <v>314</v>
      </c>
      <c r="E54" s="126" t="s">
        <v>309</v>
      </c>
      <c r="F54" s="127">
        <v>7241700</v>
      </c>
      <c r="G54" s="127">
        <v>7241700</v>
      </c>
      <c r="H54" s="127">
        <v>869004</v>
      </c>
      <c r="I54" s="127">
        <v>-586577.70000000007</v>
      </c>
      <c r="J54" s="127">
        <v>7524126.2999999998</v>
      </c>
      <c r="K54" s="127">
        <v>7524126.2999999998</v>
      </c>
      <c r="L54" s="127">
        <v>0</v>
      </c>
    </row>
    <row r="55" spans="2:12" x14ac:dyDescent="0.25">
      <c r="C55">
        <v>1</v>
      </c>
      <c r="D55" t="s">
        <v>314</v>
      </c>
      <c r="E55" s="126" t="s">
        <v>309</v>
      </c>
      <c r="F55" s="127">
        <v>4827800</v>
      </c>
      <c r="G55" s="127">
        <v>4827800</v>
      </c>
      <c r="H55" s="127">
        <v>579336</v>
      </c>
      <c r="I55" s="127">
        <v>-217251</v>
      </c>
      <c r="J55" s="127">
        <v>5189885</v>
      </c>
      <c r="K55" s="127">
        <v>0</v>
      </c>
      <c r="L55" s="127">
        <v>5189885</v>
      </c>
    </row>
    <row r="56" spans="2:12" x14ac:dyDescent="0.25">
      <c r="C56">
        <v>2</v>
      </c>
      <c r="D56" t="s">
        <v>309</v>
      </c>
      <c r="E56" t="s">
        <v>309</v>
      </c>
      <c r="F56" s="102">
        <v>4827800</v>
      </c>
      <c r="G56" s="102"/>
      <c r="H56" s="102"/>
      <c r="I56" s="102"/>
      <c r="J56" s="102"/>
      <c r="K56" s="102"/>
      <c r="L56" s="102"/>
    </row>
    <row r="57" spans="2:12" x14ac:dyDescent="0.25">
      <c r="C57">
        <v>3</v>
      </c>
      <c r="D57" t="s">
        <v>309</v>
      </c>
      <c r="E57" t="s">
        <v>309</v>
      </c>
      <c r="F57" s="102">
        <v>3620850</v>
      </c>
      <c r="G57" s="102"/>
      <c r="H57" s="102"/>
      <c r="I57" s="102"/>
      <c r="J57" s="102"/>
      <c r="K57" s="102"/>
      <c r="L57" s="102"/>
    </row>
    <row r="58" spans="2:12" x14ac:dyDescent="0.25">
      <c r="C58">
        <v>4</v>
      </c>
      <c r="D58" t="s">
        <v>309</v>
      </c>
      <c r="E58" t="s">
        <v>309</v>
      </c>
      <c r="F58" s="102">
        <v>2413900</v>
      </c>
      <c r="G58" s="102"/>
      <c r="H58" s="102"/>
      <c r="I58" s="102"/>
      <c r="J58" s="102"/>
      <c r="K58" s="102"/>
      <c r="L58" s="102"/>
    </row>
    <row r="59" spans="2:12" x14ac:dyDescent="0.25">
      <c r="C59">
        <v>5</v>
      </c>
      <c r="D59" t="s">
        <v>309</v>
      </c>
      <c r="E59" t="s">
        <v>309</v>
      </c>
      <c r="F59" s="102">
        <v>1206950</v>
      </c>
      <c r="G59" s="102"/>
      <c r="H59" s="102"/>
      <c r="I59" s="102"/>
      <c r="J59" s="102"/>
      <c r="K59" s="102"/>
      <c r="L59" s="102"/>
    </row>
    <row r="60" spans="2:12" x14ac:dyDescent="0.25">
      <c r="B60" t="s">
        <v>318</v>
      </c>
      <c r="E60"/>
      <c r="F60" s="102">
        <v>24139000</v>
      </c>
      <c r="G60" s="102">
        <v>12069500</v>
      </c>
      <c r="H60" s="102">
        <v>1448340</v>
      </c>
      <c r="I60" s="102">
        <v>-803828.70000000007</v>
      </c>
      <c r="J60" s="102">
        <v>12714011.300000001</v>
      </c>
      <c r="K60" s="102">
        <v>7524126.2999999998</v>
      </c>
      <c r="L60" s="102">
        <v>5189885</v>
      </c>
    </row>
    <row r="61" spans="2:12" x14ac:dyDescent="0.25">
      <c r="B61" t="s">
        <v>319</v>
      </c>
      <c r="C61" t="s">
        <v>231</v>
      </c>
      <c r="D61" s="126" t="s">
        <v>314</v>
      </c>
      <c r="E61" s="126" t="s">
        <v>309</v>
      </c>
      <c r="F61" s="127">
        <v>29897345.399999999</v>
      </c>
      <c r="G61" s="127">
        <v>29897345.399999999</v>
      </c>
      <c r="H61" s="127">
        <v>3587681.4479999999</v>
      </c>
      <c r="I61" s="127">
        <v>-1345380.5429999998</v>
      </c>
      <c r="J61" s="127">
        <v>32139646.304999996</v>
      </c>
      <c r="K61" s="127">
        <v>0</v>
      </c>
      <c r="L61" s="127">
        <v>32139646.304999996</v>
      </c>
    </row>
    <row r="62" spans="2:12" x14ac:dyDescent="0.25">
      <c r="C62">
        <v>1</v>
      </c>
      <c r="D62" t="s">
        <v>309</v>
      </c>
      <c r="E62" t="s">
        <v>309</v>
      </c>
      <c r="F62" s="102">
        <v>19931563.600000001</v>
      </c>
      <c r="G62" s="102"/>
      <c r="H62" s="102"/>
      <c r="I62" s="102"/>
      <c r="J62" s="102"/>
      <c r="K62" s="102"/>
      <c r="L62" s="102"/>
    </row>
    <row r="63" spans="2:12" x14ac:dyDescent="0.25">
      <c r="C63">
        <v>2</v>
      </c>
      <c r="D63" t="s">
        <v>309</v>
      </c>
      <c r="E63" t="s">
        <v>309</v>
      </c>
      <c r="F63" s="102">
        <v>19931563.600000001</v>
      </c>
      <c r="G63" s="102"/>
      <c r="H63" s="102"/>
      <c r="I63" s="102"/>
      <c r="J63" s="102"/>
      <c r="K63" s="102"/>
      <c r="L63" s="102"/>
    </row>
    <row r="64" spans="2:12" x14ac:dyDescent="0.25">
      <c r="C64">
        <v>3</v>
      </c>
      <c r="D64" t="s">
        <v>309</v>
      </c>
      <c r="E64" t="s">
        <v>309</v>
      </c>
      <c r="F64" s="102">
        <v>14948672.700000001</v>
      </c>
      <c r="G64" s="102"/>
      <c r="H64" s="102"/>
      <c r="I64" s="102"/>
      <c r="J64" s="102"/>
      <c r="K64" s="102"/>
      <c r="L64" s="102"/>
    </row>
    <row r="65" spans="2:12" x14ac:dyDescent="0.25">
      <c r="C65">
        <v>4</v>
      </c>
      <c r="D65" t="s">
        <v>309</v>
      </c>
      <c r="E65" t="s">
        <v>309</v>
      </c>
      <c r="F65" s="102">
        <v>9965781.8000000007</v>
      </c>
      <c r="G65" s="102"/>
      <c r="H65" s="102"/>
      <c r="I65" s="102"/>
      <c r="J65" s="102"/>
      <c r="K65" s="102"/>
      <c r="L65" s="102"/>
    </row>
    <row r="66" spans="2:12" x14ac:dyDescent="0.25">
      <c r="C66">
        <v>5</v>
      </c>
      <c r="D66" t="s">
        <v>309</v>
      </c>
      <c r="E66" t="s">
        <v>309</v>
      </c>
      <c r="F66" s="102">
        <v>4982890.9000000004</v>
      </c>
      <c r="G66" s="102"/>
      <c r="H66" s="102"/>
      <c r="I66" s="102"/>
      <c r="J66" s="102"/>
      <c r="K66" s="102"/>
      <c r="L66" s="102"/>
    </row>
    <row r="67" spans="2:12" x14ac:dyDescent="0.25">
      <c r="C67" t="s">
        <v>330</v>
      </c>
      <c r="D67" s="132">
        <v>40368</v>
      </c>
      <c r="E67" t="s">
        <v>309</v>
      </c>
      <c r="F67" s="107">
        <v>1102301.6100000001</v>
      </c>
      <c r="G67" s="107">
        <v>1102301.6100000001</v>
      </c>
      <c r="H67" s="107">
        <v>132276.19320000001</v>
      </c>
      <c r="I67" s="107">
        <v>-49603.57245</v>
      </c>
      <c r="J67" s="107">
        <v>1184974.2307500001</v>
      </c>
      <c r="K67" s="107"/>
      <c r="L67" s="107">
        <v>1184974.2307500001</v>
      </c>
    </row>
    <row r="68" spans="2:12" x14ac:dyDescent="0.25">
      <c r="C68" t="s">
        <v>331</v>
      </c>
      <c r="D68" s="132">
        <v>40368</v>
      </c>
      <c r="E68" t="s">
        <v>309</v>
      </c>
      <c r="F68" s="107">
        <v>934339.23</v>
      </c>
      <c r="G68" s="107">
        <v>934339.23</v>
      </c>
      <c r="H68" s="107">
        <v>112120.70759999999</v>
      </c>
      <c r="I68" s="107">
        <v>-42045.265349999994</v>
      </c>
      <c r="J68" s="107">
        <v>1004414.6722499999</v>
      </c>
      <c r="K68" s="107"/>
      <c r="L68" s="107">
        <v>1004414.6722499999</v>
      </c>
    </row>
    <row r="69" spans="2:12" x14ac:dyDescent="0.25">
      <c r="C69" t="s">
        <v>332</v>
      </c>
      <c r="D69" s="132">
        <v>40368</v>
      </c>
      <c r="E69" t="s">
        <v>309</v>
      </c>
      <c r="F69" s="107">
        <v>2673144.15</v>
      </c>
      <c r="G69" s="107">
        <v>2673144.15</v>
      </c>
      <c r="H69" s="107">
        <v>320777.29799999995</v>
      </c>
      <c r="I69" s="107">
        <v>-120291.48675</v>
      </c>
      <c r="J69" s="107">
        <v>2873629.9612499997</v>
      </c>
      <c r="K69" s="107"/>
      <c r="L69" s="107">
        <v>2873629.9612499997</v>
      </c>
    </row>
    <row r="70" spans="2:12" x14ac:dyDescent="0.25">
      <c r="C70" t="s">
        <v>333</v>
      </c>
      <c r="D70" t="s">
        <v>309</v>
      </c>
      <c r="E70" t="s">
        <v>309</v>
      </c>
      <c r="F70" s="102"/>
      <c r="G70" s="102"/>
      <c r="H70" s="102">
        <v>0</v>
      </c>
      <c r="I70" s="102">
        <v>0</v>
      </c>
      <c r="J70" s="102">
        <v>0</v>
      </c>
      <c r="K70" s="102"/>
      <c r="L70" s="102">
        <v>0</v>
      </c>
    </row>
    <row r="71" spans="2:12" x14ac:dyDescent="0.25">
      <c r="C71" t="s">
        <v>334</v>
      </c>
      <c r="D71" s="132">
        <v>40368</v>
      </c>
      <c r="E71" t="s">
        <v>309</v>
      </c>
      <c r="F71" s="107">
        <v>183775.9</v>
      </c>
      <c r="G71" s="107">
        <v>183775.9</v>
      </c>
      <c r="H71" s="107">
        <v>22053.108</v>
      </c>
      <c r="I71" s="107">
        <v>-8269.9154999999992</v>
      </c>
      <c r="J71" s="107">
        <v>197559.0925</v>
      </c>
      <c r="K71" s="107"/>
      <c r="L71" s="107">
        <v>197559.0925</v>
      </c>
    </row>
    <row r="72" spans="2:12" x14ac:dyDescent="0.25">
      <c r="B72" t="s">
        <v>321</v>
      </c>
      <c r="E72"/>
      <c r="F72" s="102">
        <v>104551378.89000002</v>
      </c>
      <c r="G72" s="102">
        <v>34790906.289999999</v>
      </c>
      <c r="H72" s="102">
        <v>4174908.7547999998</v>
      </c>
      <c r="I72" s="102">
        <v>-1565590.7830499997</v>
      </c>
      <c r="J72" s="102">
        <v>37400224.261749998</v>
      </c>
      <c r="K72" s="102">
        <v>0</v>
      </c>
      <c r="L72" s="102">
        <v>37400224.261749998</v>
      </c>
    </row>
    <row r="73" spans="2:12" x14ac:dyDescent="0.25">
      <c r="B73" s="77" t="s">
        <v>237</v>
      </c>
      <c r="C73" s="77"/>
      <c r="D73" s="77"/>
      <c r="F73" s="102">
        <v>300838774.63999993</v>
      </c>
      <c r="G73" s="102">
        <v>191886740.54000002</v>
      </c>
      <c r="H73" s="102">
        <v>20652808.864799999</v>
      </c>
      <c r="I73" s="102">
        <v>-6173361.6671571424</v>
      </c>
      <c r="J73" s="102">
        <v>206366187.73764288</v>
      </c>
      <c r="K73" s="102">
        <v>122640328.70499998</v>
      </c>
      <c r="L73" s="102">
        <v>83725859.032642841</v>
      </c>
    </row>
    <row r="74" spans="2:12" x14ac:dyDescent="0.25">
      <c r="E74"/>
    </row>
  </sheetData>
  <mergeCells count="1">
    <mergeCell ref="E2:G2"/>
  </mergeCells>
  <pageMargins left="0.7" right="0.7" top="0.75" bottom="0.75" header="0.3" footer="0.3"/>
  <pageSetup scale="67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65"/>
  <sheetViews>
    <sheetView workbookViewId="0"/>
  </sheetViews>
  <sheetFormatPr defaultRowHeight="15" x14ac:dyDescent="0.25"/>
  <cols>
    <col min="4" max="4" width="16.140625" customWidth="1"/>
    <col min="5" max="5" width="28.42578125" style="56" bestFit="1" customWidth="1"/>
    <col min="6" max="6" width="14.28515625" style="100" bestFit="1" customWidth="1"/>
    <col min="7" max="7" width="15.85546875" style="100" bestFit="1" customWidth="1"/>
    <col min="8" max="8" width="20.42578125" style="113" bestFit="1" customWidth="1"/>
    <col min="9" max="9" width="16.7109375" customWidth="1"/>
    <col min="10" max="12" width="14.28515625" customWidth="1"/>
    <col min="13" max="13" width="14.28515625" style="128" bestFit="1" customWidth="1"/>
    <col min="14" max="14" width="14.5703125" customWidth="1"/>
    <col min="15" max="15" width="14" bestFit="1" customWidth="1"/>
  </cols>
  <sheetData>
    <row r="2" spans="4:15" x14ac:dyDescent="0.25">
      <c r="E2" s="56" t="s">
        <v>225</v>
      </c>
    </row>
    <row r="5" spans="4:15" x14ac:dyDescent="0.25">
      <c r="D5" t="s">
        <v>226</v>
      </c>
      <c r="E5" s="56" t="s">
        <v>43</v>
      </c>
      <c r="F5" s="100" t="s">
        <v>235</v>
      </c>
      <c r="G5" s="114" t="s">
        <v>255</v>
      </c>
      <c r="H5" s="114" t="s">
        <v>254</v>
      </c>
      <c r="I5" t="s">
        <v>234</v>
      </c>
      <c r="J5" t="s">
        <v>201</v>
      </c>
      <c r="K5" t="s">
        <v>248</v>
      </c>
      <c r="L5" t="s">
        <v>249</v>
      </c>
      <c r="M5" s="128" t="s">
        <v>236</v>
      </c>
      <c r="N5" t="s">
        <v>204</v>
      </c>
    </row>
    <row r="6" spans="4:15" x14ac:dyDescent="0.25">
      <c r="D6" t="s">
        <v>227</v>
      </c>
      <c r="E6" s="56" t="s">
        <v>231</v>
      </c>
      <c r="F6" s="100">
        <f>'Tacoa 2500'!E8</f>
        <v>1021895</v>
      </c>
      <c r="G6" s="113">
        <f>'Tacoa 2500'!I8</f>
        <v>40015</v>
      </c>
      <c r="H6" s="114" t="str">
        <f>'Tacoa 2500'!J8</f>
        <v>7/21/2009 &amp; 9-14</v>
      </c>
      <c r="I6" s="100">
        <f>'Tacoa 2500'!K8</f>
        <v>1021895</v>
      </c>
      <c r="J6" s="100">
        <f>I6*12%</f>
        <v>122627.4</v>
      </c>
      <c r="K6" s="100">
        <f>-I6*4.5%</f>
        <v>-45985.275000000001</v>
      </c>
      <c r="L6" s="100">
        <f>I6+J6+K6</f>
        <v>1098537.125</v>
      </c>
      <c r="M6" s="122">
        <f>'Tacoa 2500'!L11</f>
        <v>1144522.3999999999</v>
      </c>
      <c r="N6" s="102">
        <f>L6-M6</f>
        <v>-45985.274999999907</v>
      </c>
    </row>
    <row r="7" spans="4:15" x14ac:dyDescent="0.25">
      <c r="D7" t="s">
        <v>227</v>
      </c>
      <c r="E7" s="56">
        <v>1</v>
      </c>
      <c r="F7" s="100">
        <f>'Tacoa 2500'!E20</f>
        <v>2554737.5</v>
      </c>
      <c r="G7" s="113" t="str">
        <f>'Tacoa 2500'!I20</f>
        <v>8/3/09 &amp; 12/7/09</v>
      </c>
      <c r="H7" s="114">
        <f>'Tacoa 2500'!J20</f>
        <v>40111</v>
      </c>
      <c r="I7" s="100">
        <f>'Tacoa 2500'!K20</f>
        <v>2554737.5</v>
      </c>
      <c r="J7" s="100">
        <f t="shared" ref="J7:J42" si="0">I7*12%</f>
        <v>306568.5</v>
      </c>
      <c r="K7" s="100">
        <f t="shared" ref="K7:K42" si="1">-I7*4.5%</f>
        <v>-114963.1875</v>
      </c>
      <c r="L7" s="100">
        <f t="shared" ref="L7:L42" si="2">I7+J7+K7</f>
        <v>2746342.8125</v>
      </c>
      <c r="M7" s="122">
        <f>'Tacoa 2500'!L23</f>
        <v>2700357.5325000002</v>
      </c>
      <c r="N7" s="102">
        <f t="shared" ref="N7:N49" si="3">L7-M7</f>
        <v>45985.279999999795</v>
      </c>
    </row>
    <row r="8" spans="4:15" x14ac:dyDescent="0.25">
      <c r="D8" t="s">
        <v>227</v>
      </c>
      <c r="E8" s="56">
        <v>2</v>
      </c>
      <c r="F8" s="100">
        <f>'Tacoa 2500'!E28</f>
        <v>1021895</v>
      </c>
      <c r="G8" s="113" t="str">
        <f>'Tacoa 2500'!I28</f>
        <v>8/3/09 &amp; 12/7/09</v>
      </c>
      <c r="H8" s="114">
        <f>'Tacoa 2500'!J28</f>
        <v>40217</v>
      </c>
      <c r="I8" s="100">
        <f>'Tacoa 2500'!K28</f>
        <v>510947.5</v>
      </c>
      <c r="J8" s="100">
        <f t="shared" si="0"/>
        <v>61313.7</v>
      </c>
      <c r="K8" s="100">
        <f t="shared" si="1"/>
        <v>-22992.637500000001</v>
      </c>
      <c r="L8" s="100">
        <f t="shared" si="2"/>
        <v>549268.5625</v>
      </c>
      <c r="M8" s="122">
        <f>'Tacoa 2500'!L31</f>
        <v>549268.5625</v>
      </c>
      <c r="N8" s="102">
        <f t="shared" si="3"/>
        <v>0</v>
      </c>
    </row>
    <row r="9" spans="4:15" x14ac:dyDescent="0.25">
      <c r="D9" t="s">
        <v>227</v>
      </c>
      <c r="E9" s="56">
        <v>3</v>
      </c>
      <c r="F9" s="100">
        <f>'Tacoa 2500'!E36</f>
        <v>1532842.5</v>
      </c>
      <c r="G9" s="113">
        <f>'Tacoa 2500'!I36</f>
        <v>40219</v>
      </c>
      <c r="H9" s="114">
        <f>'Tacoa 2500'!J36</f>
        <v>40220</v>
      </c>
      <c r="I9" s="100">
        <f>'Tacoa 2500'!K36</f>
        <v>1532842.5</v>
      </c>
      <c r="J9" s="100">
        <f t="shared" si="0"/>
        <v>183941.1</v>
      </c>
      <c r="K9" s="100">
        <f t="shared" si="1"/>
        <v>-68977.912499999991</v>
      </c>
      <c r="L9" s="100">
        <f t="shared" si="2"/>
        <v>1647805.6875</v>
      </c>
      <c r="M9" s="122">
        <f>'Tacoa 2500'!L39</f>
        <v>1647805.6875</v>
      </c>
      <c r="N9" s="102">
        <f t="shared" si="3"/>
        <v>0</v>
      </c>
    </row>
    <row r="10" spans="4:15" x14ac:dyDescent="0.25">
      <c r="D10" t="s">
        <v>227</v>
      </c>
      <c r="E10" s="56">
        <v>4</v>
      </c>
      <c r="F10" s="100">
        <f>'Tacoa 2500'!E45</f>
        <v>1021895</v>
      </c>
      <c r="G10" s="113">
        <f>'Tacoa 2500'!I45</f>
        <v>40302</v>
      </c>
      <c r="H10" s="118" t="s">
        <v>306</v>
      </c>
      <c r="I10" s="100">
        <f>'Tacoa 2500'!K45</f>
        <v>1532842.5</v>
      </c>
      <c r="J10" s="100">
        <f t="shared" si="0"/>
        <v>183941.1</v>
      </c>
      <c r="K10" s="100">
        <f t="shared" si="1"/>
        <v>-68977.912499999991</v>
      </c>
      <c r="L10" s="100">
        <f t="shared" si="2"/>
        <v>1647805.6875</v>
      </c>
      <c r="M10" s="122">
        <f>'Tacoa 2500'!L48</f>
        <v>0</v>
      </c>
      <c r="N10" s="102">
        <f t="shared" si="3"/>
        <v>1647805.6875</v>
      </c>
    </row>
    <row r="11" spans="4:15" x14ac:dyDescent="0.25">
      <c r="D11" t="s">
        <v>227</v>
      </c>
      <c r="E11" s="56">
        <v>5</v>
      </c>
      <c r="F11" s="100">
        <f>'Tacoa 2500'!E53</f>
        <v>1021895</v>
      </c>
      <c r="G11" s="113">
        <f>'Tacoa 2500'!I53</f>
        <v>40302</v>
      </c>
      <c r="H11" s="118" t="s">
        <v>306</v>
      </c>
      <c r="I11" s="100">
        <f>'Tacoa 2500'!K53</f>
        <v>1021895</v>
      </c>
      <c r="J11" s="100">
        <f t="shared" si="0"/>
        <v>122627.4</v>
      </c>
      <c r="K11" s="100">
        <f t="shared" si="1"/>
        <v>-45985.275000000001</v>
      </c>
      <c r="L11" s="100">
        <f t="shared" si="2"/>
        <v>1098537.125</v>
      </c>
      <c r="M11" s="122">
        <f>'Tacoa 2500'!L56</f>
        <v>0</v>
      </c>
      <c r="N11" s="102">
        <f t="shared" si="3"/>
        <v>1098537.125</v>
      </c>
    </row>
    <row r="12" spans="4:15" x14ac:dyDescent="0.25">
      <c r="D12" t="s">
        <v>227</v>
      </c>
      <c r="E12" s="56">
        <v>6</v>
      </c>
      <c r="F12" s="100">
        <f>'Tacoa 2500'!E63</f>
        <v>1532842.5</v>
      </c>
      <c r="G12" s="113">
        <f>'Tacoa 2500'!I63</f>
        <v>40302</v>
      </c>
      <c r="H12" s="118" t="s">
        <v>306</v>
      </c>
      <c r="I12" s="100">
        <f>'Tacoa 2500'!K63</f>
        <v>1532842.5</v>
      </c>
      <c r="J12" s="100">
        <f t="shared" si="0"/>
        <v>183941.1</v>
      </c>
      <c r="K12" s="100">
        <f t="shared" si="1"/>
        <v>-68977.912499999991</v>
      </c>
      <c r="L12" s="100">
        <f t="shared" si="2"/>
        <v>1647805.6875</v>
      </c>
      <c r="M12" s="122">
        <f>'Tacoa 2500'!L66</f>
        <v>0</v>
      </c>
      <c r="N12" s="102">
        <f t="shared" si="3"/>
        <v>1647805.6875</v>
      </c>
    </row>
    <row r="13" spans="4:15" x14ac:dyDescent="0.25">
      <c r="D13" t="s">
        <v>227</v>
      </c>
      <c r="E13" s="56">
        <v>7</v>
      </c>
      <c r="F13" s="100">
        <f>'Tacoa 2500'!E71</f>
        <v>510947.5</v>
      </c>
      <c r="G13" s="113">
        <f>'Tacoa 2500'!I71</f>
        <v>40302</v>
      </c>
      <c r="H13" s="118" t="s">
        <v>306</v>
      </c>
      <c r="I13" s="100">
        <f>'Tacoa 2500'!K71</f>
        <v>510947.5</v>
      </c>
      <c r="J13" s="100">
        <f t="shared" si="0"/>
        <v>61313.7</v>
      </c>
      <c r="K13" s="100">
        <f t="shared" si="1"/>
        <v>-22992.637500000001</v>
      </c>
      <c r="L13" s="100">
        <f t="shared" si="2"/>
        <v>549268.5625</v>
      </c>
      <c r="M13" s="122">
        <f>'Tacoa 2500'!L74</f>
        <v>0</v>
      </c>
      <c r="N13" s="102">
        <f t="shared" si="3"/>
        <v>549268.5625</v>
      </c>
    </row>
    <row r="14" spans="4:15" x14ac:dyDescent="0.25">
      <c r="D14" t="s">
        <v>228</v>
      </c>
      <c r="E14" s="56" t="s">
        <v>231</v>
      </c>
      <c r="F14" s="100">
        <f>'Tacoa 6000'!E8</f>
        <v>1126815</v>
      </c>
      <c r="G14" s="113">
        <f>'Tacoa 6000'!I8</f>
        <v>40015</v>
      </c>
      <c r="H14" s="114" t="str">
        <f>'Tacoa 6000'!J8</f>
        <v>7/21/2009 &amp; 9/14/09</v>
      </c>
      <c r="I14" s="100">
        <f>'Tacoa 6000'!K8</f>
        <v>1126815</v>
      </c>
      <c r="J14" s="100">
        <f t="shared" si="0"/>
        <v>135217.79999999999</v>
      </c>
      <c r="K14" s="100">
        <f t="shared" si="1"/>
        <v>-50706.674999999996</v>
      </c>
      <c r="L14" s="100">
        <f t="shared" si="2"/>
        <v>1211326.125</v>
      </c>
      <c r="M14" s="122">
        <f>'Tacoa 6000'!L11</f>
        <v>1262032.8</v>
      </c>
      <c r="N14" s="102">
        <f t="shared" si="3"/>
        <v>-50706.675000000047</v>
      </c>
      <c r="O14" s="102"/>
    </row>
    <row r="15" spans="4:15" x14ac:dyDescent="0.25">
      <c r="D15" t="s">
        <v>228</v>
      </c>
      <c r="E15" s="56">
        <v>1</v>
      </c>
      <c r="F15" s="100">
        <f>'Tacoa 6000'!E20</f>
        <v>2817037.5</v>
      </c>
      <c r="G15" s="113" t="str">
        <f>'Tacoa 6000'!I20</f>
        <v>8/3/09 &amp; 12/7/09</v>
      </c>
      <c r="H15" s="114">
        <f>'Tacoa 6000'!J20</f>
        <v>40111</v>
      </c>
      <c r="I15" s="100">
        <f>'Tacoa 6000'!K20</f>
        <v>2817037.5</v>
      </c>
      <c r="J15" s="100">
        <f t="shared" si="0"/>
        <v>338044.5</v>
      </c>
      <c r="K15" s="100">
        <f t="shared" si="1"/>
        <v>-126766.6875</v>
      </c>
      <c r="L15" s="100">
        <f t="shared" si="2"/>
        <v>3028315.3125</v>
      </c>
      <c r="M15" s="122">
        <f>'Tacoa 6000'!L23</f>
        <v>2977608.6324999998</v>
      </c>
      <c r="N15" s="102">
        <f t="shared" si="3"/>
        <v>50706.680000000168</v>
      </c>
      <c r="O15" s="102"/>
    </row>
    <row r="16" spans="4:15" s="103" customFormat="1" x14ac:dyDescent="0.25">
      <c r="D16" s="103" t="s">
        <v>228</v>
      </c>
      <c r="E16" s="104">
        <v>2</v>
      </c>
      <c r="F16" s="111">
        <f>'Tacoa 6000'!E28</f>
        <v>1126815</v>
      </c>
      <c r="G16" s="113" t="str">
        <f>'Tacoa 6000'!I28</f>
        <v>8/3/09 &amp; 12/7/09</v>
      </c>
      <c r="H16" s="114">
        <f>'Tacoa 6000'!J28</f>
        <v>40217</v>
      </c>
      <c r="I16" s="111">
        <f>'Tacoa 6000'!K28</f>
        <v>563407.5</v>
      </c>
      <c r="J16" s="111">
        <f t="shared" si="0"/>
        <v>67608.899999999994</v>
      </c>
      <c r="K16" s="111">
        <f t="shared" si="1"/>
        <v>-25353.337499999998</v>
      </c>
      <c r="L16" s="111">
        <f t="shared" si="2"/>
        <v>605663.0625</v>
      </c>
      <c r="M16" s="111">
        <f>'Tacoa 6000'!L31</f>
        <v>605663.0625</v>
      </c>
      <c r="N16" s="107">
        <f t="shared" si="3"/>
        <v>0</v>
      </c>
      <c r="O16" s="107">
        <f>F16-I16</f>
        <v>563407.5</v>
      </c>
    </row>
    <row r="17" spans="4:15" x14ac:dyDescent="0.25">
      <c r="D17" t="s">
        <v>228</v>
      </c>
      <c r="E17" s="56">
        <v>3</v>
      </c>
      <c r="F17" s="100">
        <f>'Tacoa 6000'!E36</f>
        <v>1690222.5</v>
      </c>
      <c r="G17" s="113">
        <f>'Tacoa 6000'!I36</f>
        <v>40219</v>
      </c>
      <c r="H17" s="114">
        <f>'Tacoa 6000'!J36</f>
        <v>40220</v>
      </c>
      <c r="I17" s="100">
        <f>'Tacoa 6000'!K36</f>
        <v>1690222.5</v>
      </c>
      <c r="J17" s="100">
        <f t="shared" si="0"/>
        <v>202826.69999999998</v>
      </c>
      <c r="K17" s="100">
        <f t="shared" si="1"/>
        <v>-76060.012499999997</v>
      </c>
      <c r="L17" s="100">
        <f t="shared" si="2"/>
        <v>1816989.1875</v>
      </c>
      <c r="M17" s="122">
        <f>'Tacoa 6000'!L39</f>
        <v>1816989.1875</v>
      </c>
      <c r="N17" s="102">
        <f t="shared" si="3"/>
        <v>0</v>
      </c>
      <c r="O17" s="102"/>
    </row>
    <row r="18" spans="4:15" s="103" customFormat="1" x14ac:dyDescent="0.25">
      <c r="D18" s="103" t="s">
        <v>228</v>
      </c>
      <c r="E18" s="104">
        <v>4</v>
      </c>
      <c r="F18" s="111">
        <f>'Tacoa 6000'!E45</f>
        <v>1126815</v>
      </c>
      <c r="G18" s="113">
        <f>'Tacoa 6000'!I45</f>
        <v>40302</v>
      </c>
      <c r="H18" s="118" t="s">
        <v>306</v>
      </c>
      <c r="I18" s="111">
        <f>'Tacoa 6000'!K45</f>
        <v>1663222.5</v>
      </c>
      <c r="J18" s="111">
        <f t="shared" si="0"/>
        <v>199586.69999999998</v>
      </c>
      <c r="K18" s="111">
        <f t="shared" si="1"/>
        <v>-74845.012499999997</v>
      </c>
      <c r="L18" s="111">
        <f t="shared" si="2"/>
        <v>1787964.1875</v>
      </c>
      <c r="M18" s="111">
        <f>'Tacoa 6000'!L48</f>
        <v>0</v>
      </c>
      <c r="N18" s="107">
        <f t="shared" si="3"/>
        <v>1787964.1875</v>
      </c>
      <c r="O18" s="107">
        <f>F18-I18</f>
        <v>-536407.5</v>
      </c>
    </row>
    <row r="19" spans="4:15" x14ac:dyDescent="0.25">
      <c r="D19" t="s">
        <v>228</v>
      </c>
      <c r="E19" s="56">
        <v>5</v>
      </c>
      <c r="F19" s="100">
        <f>'Tacoa 6000'!E53</f>
        <v>1126815</v>
      </c>
      <c r="G19" s="113">
        <f>'Tacoa 6000'!I53</f>
        <v>40302</v>
      </c>
      <c r="H19" s="118" t="s">
        <v>306</v>
      </c>
      <c r="I19" s="100">
        <f>'Tacoa 6000'!K53</f>
        <v>1126815</v>
      </c>
      <c r="J19" s="100">
        <f t="shared" si="0"/>
        <v>135217.79999999999</v>
      </c>
      <c r="K19" s="100">
        <f t="shared" si="1"/>
        <v>-50706.674999999996</v>
      </c>
      <c r="L19" s="100">
        <f t="shared" si="2"/>
        <v>1211326.125</v>
      </c>
      <c r="M19" s="122">
        <f>'Tacoa 6000'!L56</f>
        <v>0</v>
      </c>
      <c r="N19" s="102">
        <f t="shared" si="3"/>
        <v>1211326.125</v>
      </c>
      <c r="O19" s="102">
        <f>SUM(O16:O18)</f>
        <v>27000</v>
      </c>
    </row>
    <row r="20" spans="4:15" x14ac:dyDescent="0.25">
      <c r="D20" t="s">
        <v>228</v>
      </c>
      <c r="E20" s="56">
        <v>6</v>
      </c>
      <c r="F20" s="100">
        <f>'Tacoa 6000'!E63</f>
        <v>1690222.5</v>
      </c>
      <c r="G20" s="113">
        <f>'Tacoa 6000'!I63</f>
        <v>40302</v>
      </c>
      <c r="H20" s="118" t="s">
        <v>306</v>
      </c>
      <c r="I20" s="100">
        <f>'Tacoa 6000'!K63</f>
        <v>1690222.5</v>
      </c>
      <c r="J20" s="100">
        <f t="shared" si="0"/>
        <v>202826.69999999998</v>
      </c>
      <c r="K20" s="100">
        <f t="shared" si="1"/>
        <v>-76060.012499999997</v>
      </c>
      <c r="L20" s="100">
        <f t="shared" si="2"/>
        <v>1816989.1875</v>
      </c>
      <c r="M20" s="122">
        <f>'Tacoa 6000'!L66</f>
        <v>0</v>
      </c>
      <c r="N20" s="102">
        <f t="shared" si="3"/>
        <v>1816989.1875</v>
      </c>
      <c r="O20" s="102"/>
    </row>
    <row r="21" spans="4:15" x14ac:dyDescent="0.25">
      <c r="D21" t="s">
        <v>228</v>
      </c>
      <c r="E21" s="56">
        <v>7</v>
      </c>
      <c r="F21" s="100">
        <f>'Tacoa 6000'!E71</f>
        <v>563407.5</v>
      </c>
      <c r="G21" s="113">
        <f>'Tacoa 6000'!I71</f>
        <v>40302</v>
      </c>
      <c r="H21" s="118" t="s">
        <v>306</v>
      </c>
      <c r="I21" s="100">
        <f>'Tacoa 6000'!K71</f>
        <v>563407.5</v>
      </c>
      <c r="J21" s="100">
        <f t="shared" si="0"/>
        <v>67608.899999999994</v>
      </c>
      <c r="K21" s="100">
        <f t="shared" si="1"/>
        <v>-25353.337499999998</v>
      </c>
      <c r="L21" s="100">
        <f t="shared" si="2"/>
        <v>605663.0625</v>
      </c>
      <c r="M21" s="122">
        <f>'Tacoa 6000'!L74</f>
        <v>0</v>
      </c>
      <c r="N21" s="102">
        <f t="shared" si="3"/>
        <v>605663.0625</v>
      </c>
      <c r="O21" s="102"/>
    </row>
    <row r="22" spans="4:15" x14ac:dyDescent="0.25">
      <c r="D22" t="s">
        <v>229</v>
      </c>
      <c r="E22" s="56" t="s">
        <v>231</v>
      </c>
      <c r="F22" s="100">
        <f>'La Raisa'!E7</f>
        <v>10483646.75</v>
      </c>
      <c r="G22" s="113">
        <f>'La Raisa'!H7</f>
        <v>40199</v>
      </c>
      <c r="H22" s="114">
        <f>'La Raisa'!I7</f>
        <v>40203</v>
      </c>
      <c r="I22" s="100">
        <f>'La Raisa'!J7</f>
        <v>10483646.75</v>
      </c>
      <c r="J22" s="100">
        <f t="shared" si="0"/>
        <v>1258037.6099999999</v>
      </c>
      <c r="K22" s="100">
        <f t="shared" si="1"/>
        <v>-471764.10375000001</v>
      </c>
      <c r="L22" s="100">
        <f t="shared" si="2"/>
        <v>11269920.25625</v>
      </c>
      <c r="M22" s="122">
        <f>'La Raisa'!K10</f>
        <v>4507968.4249999998</v>
      </c>
      <c r="N22" s="102">
        <f t="shared" si="3"/>
        <v>6761951.8312499998</v>
      </c>
    </row>
    <row r="23" spans="4:15" x14ac:dyDescent="0.25">
      <c r="D23" t="s">
        <v>229</v>
      </c>
      <c r="E23" s="56">
        <v>1</v>
      </c>
      <c r="F23" s="100">
        <f>'La Raisa'!E19</f>
        <v>4193458.7</v>
      </c>
      <c r="G23" s="113">
        <f>'La Raisa'!H19</f>
        <v>40274</v>
      </c>
      <c r="H23" s="114">
        <f>'La Raisa'!I19</f>
        <v>40283</v>
      </c>
      <c r="I23" s="100">
        <f>'La Raisa'!J19</f>
        <v>4193458.7</v>
      </c>
      <c r="J23" s="100">
        <f t="shared" si="0"/>
        <v>503215.04399999999</v>
      </c>
      <c r="K23" s="100">
        <f t="shared" si="1"/>
        <v>-188705.6415</v>
      </c>
      <c r="L23" s="100">
        <f t="shared" si="2"/>
        <v>4507968.1025</v>
      </c>
      <c r="M23" s="122">
        <f>'La Raisa'!K22</f>
        <v>11269920.25625</v>
      </c>
      <c r="N23" s="102">
        <f t="shared" si="3"/>
        <v>-6761952.1537499996</v>
      </c>
    </row>
    <row r="24" spans="4:15" x14ac:dyDescent="0.25">
      <c r="D24" t="s">
        <v>229</v>
      </c>
      <c r="E24" s="56">
        <v>2</v>
      </c>
      <c r="F24" s="100">
        <f>'La Raisa'!E24</f>
        <v>2096729.35</v>
      </c>
      <c r="G24" s="113">
        <f>'La Raisa'!H24</f>
        <v>40274</v>
      </c>
      <c r="H24" s="118" t="str">
        <f>'La Raisa'!I24</f>
        <v>15/06/2010</v>
      </c>
      <c r="I24" s="100">
        <f>'La Raisa'!J24</f>
        <v>2096729.35</v>
      </c>
      <c r="J24" s="100">
        <f t="shared" si="0"/>
        <v>251607.522</v>
      </c>
      <c r="K24" s="100">
        <f t="shared" si="1"/>
        <v>-94352.820749999999</v>
      </c>
      <c r="L24" s="100">
        <f t="shared" si="2"/>
        <v>2253984.05125</v>
      </c>
      <c r="M24" s="122">
        <f>'La Raisa'!K27</f>
        <v>2253984.05125</v>
      </c>
      <c r="N24" s="102">
        <f t="shared" si="3"/>
        <v>0</v>
      </c>
    </row>
    <row r="25" spans="4:15" x14ac:dyDescent="0.25">
      <c r="D25" t="s">
        <v>229</v>
      </c>
      <c r="E25" s="56">
        <v>3</v>
      </c>
      <c r="F25" s="100">
        <f>'La Raisa'!E31</f>
        <v>6290188.0500000007</v>
      </c>
      <c r="G25" s="113">
        <f>'La Raisa'!H31</f>
        <v>40275</v>
      </c>
      <c r="H25" s="114">
        <f>'La Raisa'!I31</f>
        <v>43979</v>
      </c>
      <c r="I25" s="100">
        <f>'La Raisa'!J31</f>
        <v>6290188.0500000007</v>
      </c>
      <c r="J25" s="100">
        <f t="shared" si="0"/>
        <v>754822.56600000011</v>
      </c>
      <c r="K25" s="100">
        <f t="shared" si="1"/>
        <v>-283058.46225000004</v>
      </c>
      <c r="L25" s="100">
        <f t="shared" si="2"/>
        <v>6761952.1537500005</v>
      </c>
      <c r="M25" s="122">
        <f>'La Raisa'!K34</f>
        <v>6761952.1537500005</v>
      </c>
      <c r="N25" s="102">
        <f t="shared" si="3"/>
        <v>0</v>
      </c>
    </row>
    <row r="26" spans="4:15" x14ac:dyDescent="0.25">
      <c r="D26" t="s">
        <v>229</v>
      </c>
      <c r="E26" s="56">
        <v>4</v>
      </c>
      <c r="F26" s="100">
        <f>'La Raisa'!E42</f>
        <v>6290188.0499999989</v>
      </c>
      <c r="G26" s="113">
        <f>'La Raisa'!H42</f>
        <v>40311</v>
      </c>
      <c r="H26" s="114">
        <f>'La Raisa'!I42</f>
        <v>43979</v>
      </c>
      <c r="I26" s="100">
        <f>'La Raisa'!J42</f>
        <v>6290188.0499999989</v>
      </c>
      <c r="J26" s="100">
        <f t="shared" si="0"/>
        <v>754822.56599999988</v>
      </c>
      <c r="K26" s="100">
        <f t="shared" si="1"/>
        <v>-283058.46224999992</v>
      </c>
      <c r="L26" s="100">
        <f t="shared" si="2"/>
        <v>6761952.1537499987</v>
      </c>
      <c r="M26" s="122">
        <f>'La Raisa'!K45</f>
        <v>6761952.1537499987</v>
      </c>
      <c r="N26" s="102">
        <f t="shared" si="3"/>
        <v>0</v>
      </c>
    </row>
    <row r="27" spans="4:15" x14ac:dyDescent="0.25">
      <c r="D27" t="s">
        <v>229</v>
      </c>
      <c r="E27" s="56">
        <v>5</v>
      </c>
      <c r="F27" s="100">
        <f>'La Raisa'!E60</f>
        <v>6290188.0500000007</v>
      </c>
      <c r="G27" s="113">
        <f>'La Raisa'!H60</f>
        <v>40311</v>
      </c>
      <c r="H27" s="118" t="s">
        <v>306</v>
      </c>
      <c r="I27" s="100">
        <f>'La Raisa'!J60</f>
        <v>6290188.0500000007</v>
      </c>
      <c r="J27" s="100">
        <f t="shared" si="0"/>
        <v>754822.56600000011</v>
      </c>
      <c r="K27" s="100">
        <f t="shared" si="1"/>
        <v>-283058.46225000004</v>
      </c>
      <c r="L27" s="100">
        <f t="shared" si="2"/>
        <v>6761952.1537500005</v>
      </c>
      <c r="M27" s="122">
        <f>'La Raisa'!K63</f>
        <v>0</v>
      </c>
      <c r="N27" s="102">
        <f t="shared" si="3"/>
        <v>6761952.1537500005</v>
      </c>
    </row>
    <row r="28" spans="4:15" x14ac:dyDescent="0.25">
      <c r="D28" t="s">
        <v>229</v>
      </c>
      <c r="E28" s="56">
        <v>6</v>
      </c>
      <c r="F28" s="100">
        <f>'La Raisa'!E68</f>
        <v>2096729.35</v>
      </c>
      <c r="G28" s="113">
        <f>'La Raisa'!H68</f>
        <v>40311</v>
      </c>
      <c r="H28" s="118" t="s">
        <v>306</v>
      </c>
      <c r="I28" s="100">
        <f>'La Raisa'!J68</f>
        <v>2096729.35</v>
      </c>
      <c r="J28" s="100">
        <f t="shared" si="0"/>
        <v>251607.522</v>
      </c>
      <c r="K28" s="100">
        <f t="shared" si="1"/>
        <v>-94352.820749999999</v>
      </c>
      <c r="L28" s="100">
        <f t="shared" si="2"/>
        <v>2253984.05125</v>
      </c>
      <c r="M28" s="122">
        <f>'La Raisa'!K71</f>
        <v>0</v>
      </c>
      <c r="N28" s="102">
        <f t="shared" si="3"/>
        <v>2253984.05125</v>
      </c>
    </row>
    <row r="29" spans="4:15" x14ac:dyDescent="0.25">
      <c r="D29" t="s">
        <v>229</v>
      </c>
      <c r="E29" s="56">
        <v>7</v>
      </c>
      <c r="F29" s="100">
        <f>'La Raisa'!E85</f>
        <v>2096729.3500000003</v>
      </c>
      <c r="G29" s="100">
        <f>'La Raisa'!H85</f>
        <v>40337</v>
      </c>
      <c r="H29" s="119" t="s">
        <v>306</v>
      </c>
      <c r="I29" s="100">
        <f>'La Raisa'!J85</f>
        <v>2096729.3500000003</v>
      </c>
      <c r="J29" s="100">
        <f t="shared" si="0"/>
        <v>251607.52200000003</v>
      </c>
      <c r="K29" s="100">
        <f t="shared" si="1"/>
        <v>-94352.820750000014</v>
      </c>
      <c r="L29" s="100">
        <f t="shared" si="2"/>
        <v>2253984.0512500005</v>
      </c>
      <c r="M29" s="122">
        <f>'La Raisa'!K88</f>
        <v>0</v>
      </c>
      <c r="N29" s="102">
        <f t="shared" si="3"/>
        <v>2253984.0512500005</v>
      </c>
    </row>
    <row r="30" spans="4:15" x14ac:dyDescent="0.25">
      <c r="D30" t="s">
        <v>229</v>
      </c>
      <c r="E30" s="56">
        <v>8</v>
      </c>
      <c r="F30" s="100">
        <f>'La Raisa'!E96</f>
        <v>2096729.35</v>
      </c>
      <c r="G30" s="100">
        <f>'La Raisa'!H96</f>
        <v>40337</v>
      </c>
      <c r="H30" s="119" t="s">
        <v>306</v>
      </c>
      <c r="I30" s="100">
        <f>'La Raisa'!J96</f>
        <v>2096729.35</v>
      </c>
      <c r="J30" s="100">
        <f t="shared" si="0"/>
        <v>251607.522</v>
      </c>
      <c r="K30" s="100">
        <f t="shared" si="1"/>
        <v>-94352.820749999999</v>
      </c>
      <c r="L30" s="100">
        <f t="shared" si="2"/>
        <v>2253984.05125</v>
      </c>
      <c r="M30" s="122">
        <f>'La Raisa'!K99</f>
        <v>0</v>
      </c>
      <c r="N30" s="102">
        <f t="shared" si="3"/>
        <v>2253984.05125</v>
      </c>
    </row>
    <row r="31" spans="4:15" x14ac:dyDescent="0.25">
      <c r="D31" t="s">
        <v>230</v>
      </c>
      <c r="E31" s="56" t="s">
        <v>231</v>
      </c>
      <c r="F31" s="100">
        <f>Termozulia!B10</f>
        <v>9890000</v>
      </c>
      <c r="G31" s="113">
        <f>Termozulia!E10</f>
        <v>40088</v>
      </c>
      <c r="H31" s="114">
        <f>Termozulia!F10</f>
        <v>40096</v>
      </c>
      <c r="I31" s="100">
        <f>Termozulia!G10</f>
        <v>9890000</v>
      </c>
      <c r="J31" s="100">
        <v>0</v>
      </c>
      <c r="K31" s="100">
        <v>0</v>
      </c>
      <c r="L31" s="100">
        <f t="shared" si="2"/>
        <v>9890000</v>
      </c>
      <c r="M31" s="122">
        <f>Termozulia!H10</f>
        <v>9890000</v>
      </c>
      <c r="N31" s="102">
        <f t="shared" si="3"/>
        <v>0</v>
      </c>
    </row>
    <row r="32" spans="4:15" x14ac:dyDescent="0.25">
      <c r="D32" t="s">
        <v>230</v>
      </c>
      <c r="E32" s="56" t="s">
        <v>232</v>
      </c>
      <c r="F32" s="100">
        <f>Termozulia!B14</f>
        <v>4945000</v>
      </c>
      <c r="G32" s="113">
        <f>Termozulia!E14</f>
        <v>40254</v>
      </c>
      <c r="H32" s="118" t="s">
        <v>306</v>
      </c>
      <c r="I32" s="100">
        <f>Termozulia!G14</f>
        <v>4945000</v>
      </c>
      <c r="J32" s="100">
        <v>0</v>
      </c>
      <c r="K32" s="100">
        <v>0</v>
      </c>
      <c r="L32" s="100">
        <f t="shared" si="2"/>
        <v>4945000</v>
      </c>
      <c r="M32" s="122">
        <f>Termozulia!H14</f>
        <v>4945000</v>
      </c>
      <c r="N32" s="102">
        <f t="shared" si="3"/>
        <v>0</v>
      </c>
    </row>
    <row r="33" spans="4:14" x14ac:dyDescent="0.25">
      <c r="D33" t="s">
        <v>230</v>
      </c>
      <c r="E33" s="56" t="s">
        <v>233</v>
      </c>
      <c r="F33" s="100">
        <f>Termozulia!B18</f>
        <v>4945000</v>
      </c>
      <c r="G33" s="100">
        <f>Termozulia!E18</f>
        <v>40254</v>
      </c>
      <c r="H33" s="119" t="s">
        <v>306</v>
      </c>
      <c r="I33" s="100">
        <f>Termozulia!G18</f>
        <v>4945000</v>
      </c>
      <c r="J33" s="100">
        <v>0</v>
      </c>
      <c r="K33" s="100">
        <v>0</v>
      </c>
      <c r="L33" s="100">
        <f t="shared" si="2"/>
        <v>4945000</v>
      </c>
      <c r="M33" s="122">
        <f>Termozulia!H18</f>
        <v>0</v>
      </c>
      <c r="N33" s="102">
        <f t="shared" si="3"/>
        <v>4945000</v>
      </c>
    </row>
    <row r="34" spans="4:14" x14ac:dyDescent="0.25">
      <c r="D34" t="s">
        <v>195</v>
      </c>
      <c r="E34" s="56" t="s">
        <v>231</v>
      </c>
      <c r="F34" s="100">
        <f>Guarenas!E7</f>
        <v>10421177.5</v>
      </c>
      <c r="G34" s="113">
        <f>Guarenas!H7</f>
        <v>40311</v>
      </c>
      <c r="H34" s="114">
        <f>Guarenas!I7</f>
        <v>40273</v>
      </c>
      <c r="I34" s="100">
        <f>Guarenas!J7</f>
        <v>10421177.5</v>
      </c>
      <c r="J34" s="100">
        <f t="shared" si="0"/>
        <v>1250541.3</v>
      </c>
      <c r="K34" s="100">
        <f t="shared" si="1"/>
        <v>-468952.98749999999</v>
      </c>
      <c r="L34" s="100">
        <f t="shared" si="2"/>
        <v>11202765.8125</v>
      </c>
      <c r="M34" s="122">
        <f>Guarenas!K10</f>
        <v>10421177.5</v>
      </c>
      <c r="N34" s="102">
        <f t="shared" si="3"/>
        <v>781588.3125</v>
      </c>
    </row>
    <row r="35" spans="4:14" x14ac:dyDescent="0.25">
      <c r="D35" t="s">
        <v>195</v>
      </c>
      <c r="E35" s="56">
        <v>1</v>
      </c>
      <c r="F35" s="100">
        <f>Guarenas!E14</f>
        <v>4168471</v>
      </c>
      <c r="G35" s="113">
        <f>Guarenas!H14</f>
        <v>40336</v>
      </c>
      <c r="H35" s="118" t="s">
        <v>306</v>
      </c>
      <c r="I35" s="100">
        <f>Guarenas!J14</f>
        <v>4168471</v>
      </c>
      <c r="J35" s="100">
        <f t="shared" si="0"/>
        <v>500216.51999999996</v>
      </c>
      <c r="K35" s="100">
        <f t="shared" si="1"/>
        <v>-187581.19500000001</v>
      </c>
      <c r="L35" s="100">
        <f t="shared" si="2"/>
        <v>4481106.3249999993</v>
      </c>
      <c r="M35" s="122">
        <f>Guarenas!K17</f>
        <v>0</v>
      </c>
      <c r="N35" s="102">
        <f t="shared" si="3"/>
        <v>4481106.3249999993</v>
      </c>
    </row>
    <row r="36" spans="4:14" x14ac:dyDescent="0.25">
      <c r="D36" t="s">
        <v>195</v>
      </c>
      <c r="E36" s="56">
        <v>2</v>
      </c>
      <c r="F36" s="100">
        <f>Guarenas!E21</f>
        <v>6252706.5</v>
      </c>
      <c r="G36" s="100">
        <f>Guarenas!H21</f>
        <v>0</v>
      </c>
      <c r="H36" s="119" t="s">
        <v>306</v>
      </c>
      <c r="I36" s="100">
        <f>Guarenas!J21</f>
        <v>0</v>
      </c>
      <c r="J36" s="100">
        <f t="shared" si="0"/>
        <v>0</v>
      </c>
      <c r="K36" s="100">
        <f t="shared" si="1"/>
        <v>0</v>
      </c>
      <c r="L36" s="100">
        <f t="shared" si="2"/>
        <v>0</v>
      </c>
      <c r="M36" s="122">
        <f>Guarenas!K24</f>
        <v>0</v>
      </c>
      <c r="N36" s="102">
        <f t="shared" si="3"/>
        <v>0</v>
      </c>
    </row>
    <row r="37" spans="4:14" x14ac:dyDescent="0.25">
      <c r="D37" t="s">
        <v>195</v>
      </c>
      <c r="E37" s="56">
        <v>3</v>
      </c>
      <c r="F37" s="100">
        <f>Guarenas!E27</f>
        <v>6252706.5</v>
      </c>
      <c r="G37" s="100">
        <f>Guarenas!H27</f>
        <v>0</v>
      </c>
      <c r="H37" s="119" t="s">
        <v>306</v>
      </c>
      <c r="I37" s="100">
        <f>Guarenas!J27</f>
        <v>0</v>
      </c>
      <c r="J37" s="100">
        <f t="shared" si="0"/>
        <v>0</v>
      </c>
      <c r="K37" s="100">
        <f t="shared" si="1"/>
        <v>0</v>
      </c>
      <c r="L37" s="100">
        <f t="shared" si="2"/>
        <v>0</v>
      </c>
      <c r="M37" s="122">
        <f>Guarenas!K30</f>
        <v>0</v>
      </c>
      <c r="N37" s="102">
        <f t="shared" si="3"/>
        <v>0</v>
      </c>
    </row>
    <row r="38" spans="4:14" x14ac:dyDescent="0.25">
      <c r="D38" t="s">
        <v>195</v>
      </c>
      <c r="E38" s="56">
        <v>4</v>
      </c>
      <c r="F38" s="100">
        <f>Guarenas!E37</f>
        <v>4168471</v>
      </c>
      <c r="G38" s="100">
        <f>Guarenas!H37</f>
        <v>0</v>
      </c>
      <c r="H38" s="119" t="s">
        <v>306</v>
      </c>
      <c r="I38" s="100">
        <f>Guarenas!J37</f>
        <v>0</v>
      </c>
      <c r="J38" s="100">
        <f t="shared" si="0"/>
        <v>0</v>
      </c>
      <c r="K38" s="100">
        <f t="shared" si="1"/>
        <v>0</v>
      </c>
      <c r="L38" s="100">
        <f t="shared" si="2"/>
        <v>0</v>
      </c>
      <c r="M38" s="122">
        <f>Guarenas!K40</f>
        <v>0</v>
      </c>
      <c r="N38" s="102">
        <f t="shared" si="3"/>
        <v>0</v>
      </c>
    </row>
    <row r="39" spans="4:14" x14ac:dyDescent="0.25">
      <c r="D39" t="s">
        <v>195</v>
      </c>
      <c r="E39" s="56">
        <v>5</v>
      </c>
      <c r="F39" s="100">
        <f>Guarenas!E53</f>
        <v>4168471</v>
      </c>
      <c r="G39" s="100">
        <f>Guarenas!H53</f>
        <v>0</v>
      </c>
      <c r="H39" s="119" t="s">
        <v>306</v>
      </c>
      <c r="I39" s="100">
        <f>Guarenas!J53</f>
        <v>0</v>
      </c>
      <c r="J39" s="100">
        <f t="shared" si="0"/>
        <v>0</v>
      </c>
      <c r="K39" s="100">
        <f t="shared" si="1"/>
        <v>0</v>
      </c>
      <c r="L39" s="100">
        <f t="shared" si="2"/>
        <v>0</v>
      </c>
      <c r="M39" s="122">
        <f>Guarenas!K56</f>
        <v>0</v>
      </c>
      <c r="N39" s="102">
        <f t="shared" si="3"/>
        <v>0</v>
      </c>
    </row>
    <row r="40" spans="4:14" x14ac:dyDescent="0.25">
      <c r="D40" t="s">
        <v>195</v>
      </c>
      <c r="E40" s="56">
        <v>6</v>
      </c>
      <c r="F40" s="100">
        <f>Guarenas!E61</f>
        <v>2084235.5000000002</v>
      </c>
      <c r="G40" s="100">
        <f>Guarenas!H61</f>
        <v>0</v>
      </c>
      <c r="H40" s="119" t="s">
        <v>306</v>
      </c>
      <c r="I40" s="100">
        <f>Guarenas!J61</f>
        <v>0</v>
      </c>
      <c r="J40" s="100">
        <f t="shared" si="0"/>
        <v>0</v>
      </c>
      <c r="K40" s="100">
        <f t="shared" si="1"/>
        <v>0</v>
      </c>
      <c r="L40" s="100">
        <f t="shared" si="2"/>
        <v>0</v>
      </c>
      <c r="M40" s="122">
        <f>Guarenas!K64</f>
        <v>0</v>
      </c>
      <c r="N40" s="102">
        <f t="shared" si="3"/>
        <v>0</v>
      </c>
    </row>
    <row r="41" spans="4:14" x14ac:dyDescent="0.25">
      <c r="D41" t="s">
        <v>195</v>
      </c>
      <c r="E41" s="56">
        <v>7</v>
      </c>
      <c r="F41" s="100">
        <f>Guarenas!E78</f>
        <v>2084235.5000000002</v>
      </c>
      <c r="G41" s="100">
        <f>Guarenas!H78</f>
        <v>0</v>
      </c>
      <c r="H41" s="119" t="s">
        <v>306</v>
      </c>
      <c r="I41" s="100">
        <f>Guarenas!J78</f>
        <v>0</v>
      </c>
      <c r="J41" s="100">
        <f t="shared" si="0"/>
        <v>0</v>
      </c>
      <c r="K41" s="100">
        <f t="shared" si="1"/>
        <v>0</v>
      </c>
      <c r="L41" s="100">
        <f t="shared" si="2"/>
        <v>0</v>
      </c>
      <c r="M41" s="122">
        <f>Guarenas!K81</f>
        <v>0</v>
      </c>
      <c r="N41" s="102">
        <f t="shared" si="3"/>
        <v>0</v>
      </c>
    </row>
    <row r="42" spans="4:14" x14ac:dyDescent="0.25">
      <c r="D42" t="s">
        <v>195</v>
      </c>
      <c r="E42" s="56">
        <v>8</v>
      </c>
      <c r="F42" s="100">
        <f>Guarenas!E88</f>
        <v>2084235.5000000002</v>
      </c>
      <c r="G42" s="100">
        <f>Guarenas!H88</f>
        <v>0</v>
      </c>
      <c r="H42" s="119" t="s">
        <v>306</v>
      </c>
      <c r="I42" s="100">
        <f>Guarenas!J88</f>
        <v>0</v>
      </c>
      <c r="J42" s="100">
        <f t="shared" si="0"/>
        <v>0</v>
      </c>
      <c r="K42" s="100">
        <f t="shared" si="1"/>
        <v>0</v>
      </c>
      <c r="L42" s="100">
        <f t="shared" si="2"/>
        <v>0</v>
      </c>
      <c r="M42" s="122">
        <f>Guarenas!K91</f>
        <v>0</v>
      </c>
      <c r="N42" s="102">
        <f t="shared" si="3"/>
        <v>0</v>
      </c>
    </row>
    <row r="43" spans="4:14" x14ac:dyDescent="0.25">
      <c r="D43" t="s">
        <v>227</v>
      </c>
      <c r="E43" t="s">
        <v>296</v>
      </c>
      <c r="F43" s="100">
        <v>3393615.4999999995</v>
      </c>
      <c r="G43" s="2">
        <v>40331</v>
      </c>
      <c r="H43" s="118" t="s">
        <v>306</v>
      </c>
      <c r="I43" s="112">
        <v>3393615.4999999995</v>
      </c>
      <c r="J43" s="112">
        <f t="shared" ref="J43:J49" si="4">I43*12%</f>
        <v>407233.85999999993</v>
      </c>
      <c r="K43" s="112">
        <f>-I43*4.5%</f>
        <v>-152712.69749999998</v>
      </c>
      <c r="L43" s="112">
        <f t="shared" ref="L43:L49" si="5">I43+J43+K43</f>
        <v>3648136.6624999996</v>
      </c>
      <c r="M43" s="128">
        <v>0</v>
      </c>
      <c r="N43" s="102">
        <f t="shared" si="3"/>
        <v>3648136.6624999996</v>
      </c>
    </row>
    <row r="44" spans="4:14" x14ac:dyDescent="0.25">
      <c r="D44" t="s">
        <v>227</v>
      </c>
      <c r="E44" t="s">
        <v>298</v>
      </c>
      <c r="F44" s="112">
        <v>2048962.3749999998</v>
      </c>
      <c r="G44" s="2">
        <v>40331</v>
      </c>
      <c r="H44" s="118" t="s">
        <v>306</v>
      </c>
      <c r="I44" s="112">
        <v>2048962.3749999998</v>
      </c>
      <c r="J44" s="112">
        <f t="shared" si="4"/>
        <v>245875.48499999996</v>
      </c>
      <c r="K44" s="112">
        <f>-I44*4.5%</f>
        <v>-92203.30687499998</v>
      </c>
      <c r="L44" s="112">
        <f t="shared" si="5"/>
        <v>2202634.5531250001</v>
      </c>
      <c r="M44" s="128">
        <v>0</v>
      </c>
      <c r="N44" s="102">
        <f t="shared" si="3"/>
        <v>2202634.5531250001</v>
      </c>
    </row>
    <row r="45" spans="4:14" x14ac:dyDescent="0.25">
      <c r="D45" t="s">
        <v>229</v>
      </c>
      <c r="E45" t="s">
        <v>265</v>
      </c>
      <c r="F45" s="117">
        <v>374843.74999999994</v>
      </c>
      <c r="G45" s="2">
        <v>40330</v>
      </c>
      <c r="H45" s="118" t="s">
        <v>306</v>
      </c>
      <c r="I45" s="117">
        <v>374843.74999999994</v>
      </c>
      <c r="J45" s="112">
        <f t="shared" si="4"/>
        <v>44981.249999999993</v>
      </c>
      <c r="K45" s="112">
        <f>-I45*4.5%</f>
        <v>-16867.968749999996</v>
      </c>
      <c r="L45" s="112">
        <f t="shared" si="5"/>
        <v>402957.03124999994</v>
      </c>
      <c r="M45" s="128">
        <v>0</v>
      </c>
      <c r="N45" s="102">
        <f t="shared" si="3"/>
        <v>402957.03124999994</v>
      </c>
    </row>
    <row r="46" spans="4:14" x14ac:dyDescent="0.25">
      <c r="D46" t="s">
        <v>229</v>
      </c>
      <c r="E46" t="s">
        <v>275</v>
      </c>
      <c r="F46" s="117">
        <v>730291.41071428568</v>
      </c>
      <c r="G46" s="2">
        <v>40330</v>
      </c>
      <c r="H46" s="118" t="s">
        <v>306</v>
      </c>
      <c r="I46" s="117">
        <v>730291.41071428568</v>
      </c>
      <c r="J46" s="112">
        <f t="shared" si="4"/>
        <v>87634.96928571428</v>
      </c>
      <c r="K46" s="112">
        <f>-I46*4.5%</f>
        <v>-32863.113482142857</v>
      </c>
      <c r="L46" s="112">
        <f t="shared" si="5"/>
        <v>785063.26651785709</v>
      </c>
      <c r="M46" s="128">
        <v>0</v>
      </c>
      <c r="N46" s="102">
        <f t="shared" si="3"/>
        <v>785063.26651785709</v>
      </c>
    </row>
    <row r="47" spans="4:14" x14ac:dyDescent="0.25">
      <c r="D47" t="s">
        <v>308</v>
      </c>
      <c r="E47" s="56" t="s">
        <v>311</v>
      </c>
      <c r="F47" s="100">
        <f>30000000/1.12</f>
        <v>26785714.285714284</v>
      </c>
      <c r="G47" s="122" t="s">
        <v>312</v>
      </c>
      <c r="H47" s="123" t="s">
        <v>313</v>
      </c>
      <c r="I47" s="102">
        <f>F47</f>
        <v>26785714.285714284</v>
      </c>
      <c r="J47" s="102">
        <f t="shared" si="4"/>
        <v>3214285.7142857141</v>
      </c>
      <c r="K47">
        <v>0</v>
      </c>
      <c r="L47" s="119">
        <f t="shared" si="5"/>
        <v>29999999.999999996</v>
      </c>
      <c r="M47" s="128">
        <f>30000000</f>
        <v>30000000</v>
      </c>
      <c r="N47" s="102">
        <f t="shared" si="3"/>
        <v>0</v>
      </c>
    </row>
    <row r="48" spans="4:14" x14ac:dyDescent="0.25">
      <c r="D48" t="s">
        <v>317</v>
      </c>
      <c r="E48" s="56" t="s">
        <v>231</v>
      </c>
      <c r="F48" s="100">
        <f>'Las Morochas'!E7</f>
        <v>7241700</v>
      </c>
      <c r="G48" s="118" t="str">
        <f>'Las Morochas'!H7</f>
        <v>23/06/2010</v>
      </c>
      <c r="H48" s="118"/>
      <c r="I48" s="119">
        <f>'Las Morochas'!J7</f>
        <v>7241700</v>
      </c>
      <c r="J48" s="119">
        <f t="shared" si="4"/>
        <v>869004</v>
      </c>
      <c r="K48" s="119">
        <f>-I48*8.1%</f>
        <v>-586577.70000000007</v>
      </c>
      <c r="L48" s="119">
        <f t="shared" si="5"/>
        <v>7524126.2999999998</v>
      </c>
      <c r="M48" s="122">
        <f>'Las Morochas'!K10</f>
        <v>7524126.2999999998</v>
      </c>
      <c r="N48" s="102">
        <f t="shared" si="3"/>
        <v>0</v>
      </c>
    </row>
    <row r="49" spans="4:14" x14ac:dyDescent="0.25">
      <c r="D49" t="s">
        <v>317</v>
      </c>
      <c r="E49" s="56">
        <v>1</v>
      </c>
      <c r="F49" s="100">
        <f>'Las Morochas'!E14</f>
        <v>4827800</v>
      </c>
      <c r="G49" s="118" t="str">
        <f>'Las Morochas'!H14</f>
        <v>23/06/2010</v>
      </c>
      <c r="H49" s="118"/>
      <c r="I49" s="119">
        <f>'Las Morochas'!J14</f>
        <v>4827800</v>
      </c>
      <c r="J49" s="119">
        <f t="shared" si="4"/>
        <v>579336</v>
      </c>
      <c r="K49" s="119">
        <f>-I49*4.5%</f>
        <v>-217251</v>
      </c>
      <c r="L49" s="119">
        <f t="shared" si="5"/>
        <v>5189885</v>
      </c>
      <c r="M49" s="122">
        <f>'Las Morochas'!K14</f>
        <v>0</v>
      </c>
      <c r="N49" s="102">
        <f t="shared" si="3"/>
        <v>5189885</v>
      </c>
    </row>
    <row r="50" spans="4:14" x14ac:dyDescent="0.25">
      <c r="D50" t="s">
        <v>317</v>
      </c>
      <c r="E50" s="56">
        <v>2</v>
      </c>
      <c r="F50" s="100">
        <f>'Las Morochas'!E21</f>
        <v>4827800</v>
      </c>
      <c r="G50" s="118"/>
    </row>
    <row r="51" spans="4:14" x14ac:dyDescent="0.25">
      <c r="D51" t="s">
        <v>317</v>
      </c>
      <c r="E51" s="56">
        <v>3</v>
      </c>
      <c r="F51" s="100">
        <f>'Las Morochas'!E28</f>
        <v>3620850</v>
      </c>
      <c r="G51" s="118"/>
    </row>
    <row r="52" spans="4:14" x14ac:dyDescent="0.25">
      <c r="D52" t="s">
        <v>317</v>
      </c>
      <c r="E52" s="56">
        <v>4</v>
      </c>
      <c r="F52" s="100">
        <f>'Las Morochas'!E39</f>
        <v>2413900</v>
      </c>
      <c r="G52" s="118"/>
    </row>
    <row r="53" spans="4:14" x14ac:dyDescent="0.25">
      <c r="D53" t="s">
        <v>317</v>
      </c>
      <c r="E53" s="56">
        <v>5</v>
      </c>
      <c r="F53" s="100">
        <f>'Las Morochas'!E49</f>
        <v>1206950</v>
      </c>
      <c r="G53" s="118"/>
    </row>
    <row r="54" spans="4:14" x14ac:dyDescent="0.25">
      <c r="D54" t="s">
        <v>319</v>
      </c>
      <c r="E54" s="56" t="s">
        <v>231</v>
      </c>
      <c r="F54" s="100">
        <f>Furrial!E7</f>
        <v>29897345.399999999</v>
      </c>
      <c r="G54" s="118" t="str">
        <f>Furrial!H7</f>
        <v>23/06/2010</v>
      </c>
      <c r="I54" s="119">
        <f>Furrial!J7</f>
        <v>29897345.399999999</v>
      </c>
      <c r="J54" s="119">
        <f>I54*12%</f>
        <v>3587681.4479999999</v>
      </c>
      <c r="K54" s="119">
        <f>-I54*4.5%</f>
        <v>-1345380.5429999998</v>
      </c>
      <c r="L54" s="119">
        <f>I54+J54+K54</f>
        <v>32139646.304999996</v>
      </c>
      <c r="M54" s="122">
        <f>'Las Morochas'!K19</f>
        <v>0</v>
      </c>
      <c r="N54" s="102">
        <f>L54-M54</f>
        <v>32139646.304999996</v>
      </c>
    </row>
    <row r="55" spans="4:14" x14ac:dyDescent="0.25">
      <c r="D55" t="s">
        <v>319</v>
      </c>
      <c r="E55" s="56">
        <v>1</v>
      </c>
      <c r="F55" s="100">
        <f>Furrial!E14</f>
        <v>19931563.600000001</v>
      </c>
      <c r="G55" s="118"/>
    </row>
    <row r="56" spans="4:14" x14ac:dyDescent="0.25">
      <c r="D56" t="s">
        <v>319</v>
      </c>
      <c r="E56" s="56">
        <v>2</v>
      </c>
      <c r="F56" s="100">
        <f>Furrial!E21</f>
        <v>19931563.600000001</v>
      </c>
      <c r="G56" s="118"/>
    </row>
    <row r="57" spans="4:14" x14ac:dyDescent="0.25">
      <c r="D57" t="s">
        <v>319</v>
      </c>
      <c r="E57" s="56">
        <v>3</v>
      </c>
      <c r="F57" s="100">
        <f>Furrial!E28</f>
        <v>14948672.700000001</v>
      </c>
      <c r="G57" s="118"/>
    </row>
    <row r="58" spans="4:14" x14ac:dyDescent="0.25">
      <c r="D58" t="s">
        <v>319</v>
      </c>
      <c r="E58" s="56">
        <v>4</v>
      </c>
      <c r="F58" s="100">
        <f>Furrial!E39</f>
        <v>9965781.8000000007</v>
      </c>
      <c r="G58" s="118"/>
    </row>
    <row r="59" spans="4:14" x14ac:dyDescent="0.25">
      <c r="D59" t="s">
        <v>319</v>
      </c>
      <c r="E59" s="56">
        <v>5</v>
      </c>
      <c r="F59" s="100">
        <f>Furrial!E49</f>
        <v>4982890.9000000004</v>
      </c>
      <c r="G59" s="118"/>
    </row>
    <row r="60" spans="4:14" x14ac:dyDescent="0.25">
      <c r="D60" t="s">
        <v>308</v>
      </c>
      <c r="E60" s="56" t="s">
        <v>311</v>
      </c>
      <c r="F60" s="122">
        <f>15600000/1.12</f>
        <v>13928571.428571427</v>
      </c>
      <c r="G60" s="123">
        <v>40428</v>
      </c>
      <c r="H60" s="123" t="s">
        <v>313</v>
      </c>
      <c r="I60" s="102">
        <f>F60</f>
        <v>13928571.428571427</v>
      </c>
      <c r="J60" s="102">
        <f t="shared" ref="J60:J65" si="6">I60*12%</f>
        <v>1671428.5714285711</v>
      </c>
      <c r="K60">
        <v>0</v>
      </c>
      <c r="L60" s="122">
        <f t="shared" ref="L60:L65" si="7">I60+J60+K60</f>
        <v>15599999.999999998</v>
      </c>
      <c r="M60" s="128">
        <v>15600000</v>
      </c>
      <c r="N60" s="102">
        <f t="shared" ref="N60:N65" si="8">L60-M60</f>
        <v>0</v>
      </c>
    </row>
    <row r="61" spans="4:14" x14ac:dyDescent="0.25">
      <c r="D61" t="s">
        <v>319</v>
      </c>
      <c r="E61" t="s">
        <v>330</v>
      </c>
      <c r="F61" s="117">
        <v>1102301.6100000001</v>
      </c>
      <c r="G61" s="2">
        <v>40368</v>
      </c>
      <c r="H61" s="2"/>
      <c r="I61" s="117">
        <v>1102301.6100000001</v>
      </c>
      <c r="J61" s="102">
        <f t="shared" si="6"/>
        <v>132276.19320000001</v>
      </c>
      <c r="K61" s="122">
        <f>-I61*4.5%</f>
        <v>-49603.57245</v>
      </c>
      <c r="L61" s="122">
        <f t="shared" si="7"/>
        <v>1184974.2307500001</v>
      </c>
      <c r="M61" s="122"/>
      <c r="N61" s="102">
        <f t="shared" si="8"/>
        <v>1184974.2307500001</v>
      </c>
    </row>
    <row r="62" spans="4:14" x14ac:dyDescent="0.25">
      <c r="D62" t="s">
        <v>319</v>
      </c>
      <c r="E62" t="s">
        <v>331</v>
      </c>
      <c r="F62" s="117">
        <v>934339.23</v>
      </c>
      <c r="G62" s="2">
        <v>40368</v>
      </c>
      <c r="H62" s="2"/>
      <c r="I62" s="117">
        <v>934339.23</v>
      </c>
      <c r="J62" s="102">
        <f t="shared" si="6"/>
        <v>112120.70759999999</v>
      </c>
      <c r="K62" s="122">
        <f>-I62*4.5%</f>
        <v>-42045.265349999994</v>
      </c>
      <c r="L62" s="122">
        <f t="shared" si="7"/>
        <v>1004414.6722499999</v>
      </c>
      <c r="M62" s="122"/>
      <c r="N62" s="102">
        <f t="shared" si="8"/>
        <v>1004414.6722499999</v>
      </c>
    </row>
    <row r="63" spans="4:14" x14ac:dyDescent="0.25">
      <c r="D63" t="s">
        <v>319</v>
      </c>
      <c r="E63" t="s">
        <v>332</v>
      </c>
      <c r="F63" s="117">
        <v>2673144.15</v>
      </c>
      <c r="G63" s="2">
        <v>40368</v>
      </c>
      <c r="H63" s="2"/>
      <c r="I63" s="117">
        <v>2673144.15</v>
      </c>
      <c r="J63" s="102">
        <f t="shared" si="6"/>
        <v>320777.29799999995</v>
      </c>
      <c r="K63" s="122">
        <f>-I63*4.5%</f>
        <v>-120291.48675</v>
      </c>
      <c r="L63" s="122">
        <f t="shared" si="7"/>
        <v>2873629.9612499997</v>
      </c>
      <c r="M63" s="122"/>
      <c r="N63" s="102">
        <f t="shared" si="8"/>
        <v>2873629.9612499997</v>
      </c>
    </row>
    <row r="64" spans="4:14" x14ac:dyDescent="0.25">
      <c r="D64" t="s">
        <v>319</v>
      </c>
      <c r="E64" t="s">
        <v>333</v>
      </c>
      <c r="F64" s="117"/>
      <c r="G64"/>
      <c r="H64"/>
      <c r="I64" s="117"/>
      <c r="J64" s="117">
        <f>I64*12%</f>
        <v>0</v>
      </c>
      <c r="K64" s="122">
        <f>-I64*4.5%</f>
        <v>0</v>
      </c>
      <c r="L64" s="122">
        <f t="shared" si="7"/>
        <v>0</v>
      </c>
      <c r="M64" s="122"/>
      <c r="N64" s="102">
        <f t="shared" si="8"/>
        <v>0</v>
      </c>
    </row>
    <row r="65" spans="4:14" x14ac:dyDescent="0.25">
      <c r="D65" t="s">
        <v>319</v>
      </c>
      <c r="E65" t="s">
        <v>334</v>
      </c>
      <c r="F65" s="117">
        <v>183775.9</v>
      </c>
      <c r="G65" s="2">
        <v>40368</v>
      </c>
      <c r="H65" s="2"/>
      <c r="I65" s="117">
        <v>183775.9</v>
      </c>
      <c r="J65" s="102">
        <f t="shared" si="6"/>
        <v>22053.108</v>
      </c>
      <c r="K65" s="122">
        <f>-I65*4.5%</f>
        <v>-8269.9154999999992</v>
      </c>
      <c r="L65" s="122">
        <f t="shared" si="7"/>
        <v>197559.0925</v>
      </c>
      <c r="M65" s="122"/>
      <c r="N65" s="102">
        <f t="shared" si="8"/>
        <v>197559.0925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K34"/>
  <sheetViews>
    <sheetView topLeftCell="D14" workbookViewId="0">
      <selection activeCell="K26" sqref="K25:K26"/>
    </sheetView>
  </sheetViews>
  <sheetFormatPr defaultRowHeight="15" x14ac:dyDescent="0.25"/>
  <cols>
    <col min="1" max="1" width="3.85546875" customWidth="1"/>
    <col min="2" max="2" width="12.7109375" bestFit="1" customWidth="1"/>
    <col min="3" max="3" width="17" bestFit="1" customWidth="1"/>
    <col min="4" max="4" width="11.42578125" customWidth="1"/>
    <col min="5" max="5" width="11" customWidth="1"/>
    <col min="6" max="6" width="13.140625" customWidth="1"/>
    <col min="7" max="7" width="73.42578125" customWidth="1"/>
    <col min="8" max="8" width="14.42578125" hidden="1" customWidth="1"/>
    <col min="9" max="9" width="15" hidden="1" customWidth="1"/>
    <col min="10" max="10" width="15.85546875" customWidth="1"/>
    <col min="11" max="11" width="13.28515625" customWidth="1"/>
    <col min="12" max="12" width="11.140625" bestFit="1" customWidth="1"/>
    <col min="18" max="18" width="12.140625" bestFit="1" customWidth="1"/>
    <col min="19" max="19" width="10.85546875" bestFit="1" customWidth="1"/>
    <col min="20" max="20" width="11.140625" bestFit="1" customWidth="1"/>
  </cols>
  <sheetData>
    <row r="2" spans="2:11" x14ac:dyDescent="0.25">
      <c r="E2" s="133" t="s">
        <v>326</v>
      </c>
      <c r="F2" s="133"/>
    </row>
    <row r="3" spans="2:11" x14ac:dyDescent="0.25">
      <c r="H3" s="106" t="s">
        <v>244</v>
      </c>
    </row>
    <row r="4" spans="2:11" x14ac:dyDescent="0.25">
      <c r="B4" s="106" t="s">
        <v>226</v>
      </c>
      <c r="C4" s="106" t="s">
        <v>257</v>
      </c>
      <c r="D4" s="106" t="s">
        <v>327</v>
      </c>
      <c r="E4" s="106" t="s">
        <v>258</v>
      </c>
      <c r="F4" s="106" t="s">
        <v>259</v>
      </c>
      <c r="G4" s="106" t="s">
        <v>260</v>
      </c>
      <c r="H4" t="s">
        <v>261</v>
      </c>
      <c r="I4" t="s">
        <v>262</v>
      </c>
      <c r="J4" t="s">
        <v>263</v>
      </c>
      <c r="K4" t="s">
        <v>264</v>
      </c>
    </row>
    <row r="5" spans="2:11" x14ac:dyDescent="0.25">
      <c r="B5" t="s">
        <v>322</v>
      </c>
      <c r="C5" t="s">
        <v>323</v>
      </c>
      <c r="D5" t="s">
        <v>304</v>
      </c>
      <c r="E5">
        <v>2000207</v>
      </c>
      <c r="F5" s="2">
        <v>40354</v>
      </c>
      <c r="G5" t="s">
        <v>324</v>
      </c>
      <c r="H5" s="107"/>
      <c r="I5" s="107"/>
      <c r="J5" s="130"/>
      <c r="K5" s="130">
        <v>262913</v>
      </c>
    </row>
    <row r="6" spans="2:11" x14ac:dyDescent="0.25">
      <c r="B6" t="s">
        <v>325</v>
      </c>
      <c r="H6" s="102"/>
      <c r="I6" s="102"/>
      <c r="J6" s="102"/>
      <c r="K6" s="102">
        <v>262913</v>
      </c>
    </row>
    <row r="7" spans="2:11" x14ac:dyDescent="0.25">
      <c r="B7" t="s">
        <v>329</v>
      </c>
      <c r="C7" t="s">
        <v>330</v>
      </c>
      <c r="D7" t="s">
        <v>328</v>
      </c>
      <c r="E7">
        <v>179</v>
      </c>
      <c r="F7" s="2">
        <v>40368</v>
      </c>
      <c r="G7" t="s">
        <v>335</v>
      </c>
      <c r="H7" s="102">
        <v>1102301.6100000001</v>
      </c>
      <c r="I7" s="102">
        <v>132276.19320000001</v>
      </c>
      <c r="J7" s="102">
        <v>1234577.8032000002</v>
      </c>
      <c r="K7" s="102"/>
    </row>
    <row r="8" spans="2:11" x14ac:dyDescent="0.25">
      <c r="C8" t="s">
        <v>331</v>
      </c>
      <c r="D8" t="s">
        <v>328</v>
      </c>
      <c r="E8">
        <v>180</v>
      </c>
      <c r="F8" s="2">
        <v>40368</v>
      </c>
      <c r="G8" t="s">
        <v>336</v>
      </c>
      <c r="H8" s="102">
        <v>934339.23</v>
      </c>
      <c r="I8" s="102">
        <v>112120.70759999999</v>
      </c>
      <c r="J8" s="102">
        <v>1046459.9375999999</v>
      </c>
      <c r="K8" s="102"/>
    </row>
    <row r="9" spans="2:11" x14ac:dyDescent="0.25">
      <c r="C9" t="s">
        <v>332</v>
      </c>
      <c r="D9" t="s">
        <v>328</v>
      </c>
      <c r="E9">
        <v>181</v>
      </c>
      <c r="F9" s="2">
        <v>40368</v>
      </c>
      <c r="G9" t="s">
        <v>337</v>
      </c>
      <c r="H9" s="102">
        <v>2673144.15</v>
      </c>
      <c r="I9" s="102">
        <v>320777.29799999995</v>
      </c>
      <c r="J9" s="102">
        <v>2993921.4479999999</v>
      </c>
      <c r="K9" s="102"/>
    </row>
    <row r="10" spans="2:11" x14ac:dyDescent="0.25">
      <c r="C10" t="s">
        <v>333</v>
      </c>
      <c r="D10" t="s">
        <v>328</v>
      </c>
      <c r="E10" t="s">
        <v>309</v>
      </c>
      <c r="F10" s="2" t="s">
        <v>309</v>
      </c>
      <c r="G10" t="s">
        <v>339</v>
      </c>
      <c r="H10" s="102"/>
      <c r="I10" s="102">
        <v>0</v>
      </c>
      <c r="J10" s="102">
        <v>0</v>
      </c>
      <c r="K10" s="102"/>
    </row>
    <row r="11" spans="2:11" x14ac:dyDescent="0.25">
      <c r="C11" t="s">
        <v>334</v>
      </c>
      <c r="D11" t="s">
        <v>328</v>
      </c>
      <c r="E11">
        <v>182</v>
      </c>
      <c r="F11" s="2">
        <v>40368</v>
      </c>
      <c r="G11" t="s">
        <v>338</v>
      </c>
      <c r="H11" s="102">
        <v>183775.9</v>
      </c>
      <c r="I11" s="102">
        <v>22053.108</v>
      </c>
      <c r="J11" s="102">
        <v>205829.008</v>
      </c>
      <c r="K11" s="102"/>
    </row>
    <row r="12" spans="2:11" x14ac:dyDescent="0.25">
      <c r="B12" t="s">
        <v>340</v>
      </c>
      <c r="H12" s="102">
        <v>4893560.8900000006</v>
      </c>
      <c r="I12" s="102">
        <v>587227.3067999999</v>
      </c>
      <c r="J12" s="102">
        <v>5480788.1968</v>
      </c>
      <c r="K12" s="102"/>
    </row>
    <row r="13" spans="2:11" x14ac:dyDescent="0.25">
      <c r="B13" t="s">
        <v>229</v>
      </c>
      <c r="C13" t="s">
        <v>265</v>
      </c>
      <c r="D13" t="s">
        <v>304</v>
      </c>
      <c r="E13">
        <v>100376</v>
      </c>
      <c r="F13" s="2">
        <v>40329</v>
      </c>
      <c r="G13" t="s">
        <v>266</v>
      </c>
      <c r="H13" s="102"/>
      <c r="I13" s="102"/>
      <c r="J13" s="102"/>
      <c r="K13" s="102">
        <v>116684</v>
      </c>
    </row>
    <row r="14" spans="2:11" x14ac:dyDescent="0.25">
      <c r="D14" t="s">
        <v>328</v>
      </c>
      <c r="E14">
        <v>166</v>
      </c>
      <c r="F14" s="2">
        <v>40330</v>
      </c>
      <c r="G14" t="s">
        <v>266</v>
      </c>
      <c r="H14" s="102">
        <v>374843.74999999994</v>
      </c>
      <c r="I14" s="102">
        <v>44981.249999999993</v>
      </c>
      <c r="J14" s="102">
        <v>419825</v>
      </c>
      <c r="K14" s="102"/>
    </row>
    <row r="15" spans="2:11" x14ac:dyDescent="0.25">
      <c r="C15" t="s">
        <v>267</v>
      </c>
      <c r="D15" t="s">
        <v>304</v>
      </c>
      <c r="E15">
        <v>100377</v>
      </c>
      <c r="F15" s="2">
        <v>40329</v>
      </c>
      <c r="G15" t="s">
        <v>268</v>
      </c>
      <c r="H15" s="102"/>
      <c r="I15" s="102"/>
      <c r="J15" s="102"/>
      <c r="K15" s="102">
        <v>896220</v>
      </c>
    </row>
    <row r="16" spans="2:11" x14ac:dyDescent="0.25">
      <c r="C16" t="s">
        <v>269</v>
      </c>
      <c r="D16" t="s">
        <v>304</v>
      </c>
      <c r="E16">
        <v>100378</v>
      </c>
      <c r="F16" s="2">
        <v>40329</v>
      </c>
      <c r="G16" t="s">
        <v>270</v>
      </c>
      <c r="H16" s="102"/>
      <c r="I16" s="102"/>
      <c r="J16" s="102"/>
      <c r="K16" s="102">
        <v>773180</v>
      </c>
    </row>
    <row r="17" spans="2:11" x14ac:dyDescent="0.25">
      <c r="C17" t="s">
        <v>271</v>
      </c>
      <c r="D17" t="s">
        <v>304</v>
      </c>
      <c r="E17">
        <v>100379</v>
      </c>
      <c r="F17" s="2">
        <v>40329</v>
      </c>
      <c r="G17" t="s">
        <v>272</v>
      </c>
      <c r="H17" s="102"/>
      <c r="I17" s="102"/>
      <c r="J17" s="102"/>
      <c r="K17" s="102">
        <v>76500</v>
      </c>
    </row>
    <row r="18" spans="2:11" x14ac:dyDescent="0.25">
      <c r="C18" t="s">
        <v>273</v>
      </c>
      <c r="D18" t="s">
        <v>304</v>
      </c>
      <c r="E18">
        <v>100380</v>
      </c>
      <c r="F18" s="2">
        <v>40329</v>
      </c>
      <c r="G18" t="s">
        <v>274</v>
      </c>
      <c r="H18" s="102"/>
      <c r="I18" s="102"/>
      <c r="J18" s="102"/>
      <c r="K18" s="102">
        <v>326250</v>
      </c>
    </row>
    <row r="19" spans="2:11" x14ac:dyDescent="0.25">
      <c r="C19" t="s">
        <v>275</v>
      </c>
      <c r="D19" t="s">
        <v>328</v>
      </c>
      <c r="E19">
        <v>164</v>
      </c>
      <c r="F19" s="2">
        <v>40330</v>
      </c>
      <c r="G19" t="s">
        <v>276</v>
      </c>
      <c r="H19" s="102">
        <v>730291.41071428568</v>
      </c>
      <c r="I19" s="102">
        <v>87634.96928571428</v>
      </c>
      <c r="J19" s="102">
        <v>817926.38</v>
      </c>
      <c r="K19" s="102"/>
    </row>
    <row r="20" spans="2:11" x14ac:dyDescent="0.25">
      <c r="B20" s="116" t="s">
        <v>239</v>
      </c>
      <c r="C20" s="116"/>
      <c r="D20" s="116"/>
      <c r="E20" s="116"/>
      <c r="F20" s="116"/>
      <c r="G20" s="116"/>
      <c r="H20" s="102">
        <v>1105135.1607142857</v>
      </c>
      <c r="I20" s="102">
        <v>132616.21928571427</v>
      </c>
      <c r="J20" s="102">
        <v>1237751.3799999999</v>
      </c>
      <c r="K20" s="102">
        <v>2188834</v>
      </c>
    </row>
    <row r="21" spans="2:11" x14ac:dyDescent="0.25">
      <c r="B21" t="s">
        <v>277</v>
      </c>
      <c r="C21" t="s">
        <v>278</v>
      </c>
      <c r="D21" t="s">
        <v>304</v>
      </c>
      <c r="E21">
        <v>100367</v>
      </c>
      <c r="F21" s="2">
        <v>40329</v>
      </c>
      <c r="G21" t="s">
        <v>279</v>
      </c>
      <c r="H21" s="102"/>
      <c r="I21" s="102"/>
      <c r="J21" s="102"/>
      <c r="K21" s="102">
        <v>30000</v>
      </c>
    </row>
    <row r="22" spans="2:11" x14ac:dyDescent="0.25">
      <c r="C22" t="s">
        <v>280</v>
      </c>
      <c r="D22" t="s">
        <v>304</v>
      </c>
      <c r="E22">
        <v>100373</v>
      </c>
      <c r="F22" s="2">
        <v>40319</v>
      </c>
      <c r="G22" t="s">
        <v>281</v>
      </c>
      <c r="H22" s="102"/>
      <c r="I22" s="102"/>
      <c r="J22" s="102"/>
      <c r="K22" s="102">
        <v>8000</v>
      </c>
    </row>
    <row r="23" spans="2:11" x14ac:dyDescent="0.25">
      <c r="C23" t="s">
        <v>282</v>
      </c>
      <c r="D23" t="s">
        <v>304</v>
      </c>
      <c r="E23">
        <v>100368</v>
      </c>
      <c r="F23" s="2">
        <v>40329</v>
      </c>
      <c r="G23" t="s">
        <v>283</v>
      </c>
      <c r="H23" s="102"/>
      <c r="I23" s="102"/>
      <c r="J23" s="102"/>
      <c r="K23" s="102">
        <v>90000</v>
      </c>
    </row>
    <row r="24" spans="2:11" x14ac:dyDescent="0.25">
      <c r="C24" t="s">
        <v>284</v>
      </c>
      <c r="D24" t="s">
        <v>304</v>
      </c>
      <c r="E24">
        <v>100371</v>
      </c>
      <c r="F24" s="2">
        <v>40329</v>
      </c>
      <c r="G24" t="s">
        <v>285</v>
      </c>
      <c r="H24" s="102"/>
      <c r="I24" s="102"/>
      <c r="J24" s="102"/>
      <c r="K24" s="102">
        <v>45000</v>
      </c>
    </row>
    <row r="25" spans="2:11" x14ac:dyDescent="0.25">
      <c r="C25" t="s">
        <v>286</v>
      </c>
      <c r="D25" t="s">
        <v>304</v>
      </c>
      <c r="E25">
        <v>100369</v>
      </c>
      <c r="F25" s="2">
        <v>40329</v>
      </c>
      <c r="G25" t="s">
        <v>287</v>
      </c>
      <c r="H25" s="102"/>
      <c r="I25" s="102"/>
      <c r="J25" s="102"/>
      <c r="K25" s="102">
        <v>100000</v>
      </c>
    </row>
    <row r="26" spans="2:11" x14ac:dyDescent="0.25">
      <c r="C26" t="s">
        <v>288</v>
      </c>
      <c r="D26" t="s">
        <v>304</v>
      </c>
      <c r="E26">
        <v>100370</v>
      </c>
      <c r="F26" s="2">
        <v>40319</v>
      </c>
      <c r="G26" t="s">
        <v>289</v>
      </c>
      <c r="H26" s="102"/>
      <c r="I26" s="102"/>
      <c r="J26" s="102"/>
      <c r="K26" s="102">
        <v>45000</v>
      </c>
    </row>
    <row r="27" spans="2:11" x14ac:dyDescent="0.25">
      <c r="C27" t="s">
        <v>290</v>
      </c>
      <c r="D27" t="s">
        <v>304</v>
      </c>
      <c r="E27">
        <v>100372</v>
      </c>
      <c r="F27" s="2">
        <v>40319</v>
      </c>
      <c r="G27" t="s">
        <v>291</v>
      </c>
      <c r="H27" s="102"/>
      <c r="I27" s="102"/>
      <c r="J27" s="102"/>
      <c r="K27" s="102">
        <v>1061000</v>
      </c>
    </row>
    <row r="28" spans="2:11" x14ac:dyDescent="0.25">
      <c r="C28" t="s">
        <v>292</v>
      </c>
      <c r="D28" t="s">
        <v>304</v>
      </c>
      <c r="E28">
        <v>100374</v>
      </c>
      <c r="F28" s="2">
        <v>40319</v>
      </c>
      <c r="G28" t="s">
        <v>293</v>
      </c>
      <c r="H28" s="102"/>
      <c r="I28" s="102"/>
      <c r="J28" s="102"/>
      <c r="K28" s="102">
        <v>599000</v>
      </c>
    </row>
    <row r="29" spans="2:11" x14ac:dyDescent="0.25">
      <c r="C29" t="s">
        <v>294</v>
      </c>
      <c r="D29" t="s">
        <v>304</v>
      </c>
      <c r="E29">
        <v>100375</v>
      </c>
      <c r="F29" s="2">
        <v>40329</v>
      </c>
      <c r="G29" t="s">
        <v>295</v>
      </c>
      <c r="H29" s="102"/>
      <c r="I29" s="102"/>
      <c r="J29" s="102"/>
      <c r="K29" s="102">
        <v>86000</v>
      </c>
    </row>
    <row r="30" spans="2:11" x14ac:dyDescent="0.25">
      <c r="C30" t="s">
        <v>296</v>
      </c>
      <c r="D30" t="s">
        <v>304</v>
      </c>
      <c r="E30">
        <v>100388</v>
      </c>
      <c r="F30" s="2">
        <v>40329</v>
      </c>
      <c r="G30" t="s">
        <v>297</v>
      </c>
      <c r="H30" s="102"/>
      <c r="I30" s="102"/>
      <c r="J30" s="102"/>
      <c r="K30" s="102">
        <v>1139908.5</v>
      </c>
    </row>
    <row r="31" spans="2:11" x14ac:dyDescent="0.25">
      <c r="D31" t="s">
        <v>328</v>
      </c>
      <c r="E31">
        <v>168</v>
      </c>
      <c r="F31" s="2">
        <v>40330</v>
      </c>
      <c r="G31" t="s">
        <v>297</v>
      </c>
      <c r="H31" s="102">
        <v>3393615.4999999995</v>
      </c>
      <c r="I31" s="102">
        <v>407233.85999999993</v>
      </c>
      <c r="J31" s="102">
        <v>3800849.36</v>
      </c>
      <c r="K31" s="102"/>
    </row>
    <row r="32" spans="2:11" x14ac:dyDescent="0.25">
      <c r="C32" t="s">
        <v>298</v>
      </c>
      <c r="D32" t="s">
        <v>328</v>
      </c>
      <c r="E32">
        <v>165</v>
      </c>
      <c r="F32" s="2">
        <v>40330</v>
      </c>
      <c r="G32" t="s">
        <v>299</v>
      </c>
      <c r="H32" s="102">
        <v>2048962.3749999998</v>
      </c>
      <c r="I32" s="102">
        <v>245875.48499999996</v>
      </c>
      <c r="J32" s="102">
        <v>2294837.86</v>
      </c>
      <c r="K32" s="102"/>
    </row>
    <row r="33" spans="2:11" x14ac:dyDescent="0.25">
      <c r="B33" t="s">
        <v>300</v>
      </c>
      <c r="H33" s="102">
        <v>5442577.8749999991</v>
      </c>
      <c r="I33" s="102">
        <v>653109.34499999986</v>
      </c>
      <c r="J33" s="102">
        <v>6095687.2199999997</v>
      </c>
      <c r="K33" s="102">
        <v>3203908.5</v>
      </c>
    </row>
    <row r="34" spans="2:11" x14ac:dyDescent="0.25">
      <c r="B34" t="s">
        <v>237</v>
      </c>
      <c r="H34" s="102">
        <v>11441273.925714286</v>
      </c>
      <c r="I34" s="102">
        <v>1372952.8710857141</v>
      </c>
      <c r="J34" s="102">
        <v>12814226.796799999</v>
      </c>
      <c r="K34" s="102">
        <v>5655655.5</v>
      </c>
    </row>
  </sheetData>
  <mergeCells count="1">
    <mergeCell ref="E2:F2"/>
  </mergeCells>
  <pageMargins left="0.7" right="0.7" top="0.75" bottom="0.75" header="0.3" footer="0.3"/>
  <pageSetup scale="55" orientation="landscape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30"/>
  <sheetViews>
    <sheetView topLeftCell="G9" workbookViewId="0">
      <selection activeCell="C26" sqref="C26:L30"/>
    </sheetView>
  </sheetViews>
  <sheetFormatPr defaultRowHeight="15" x14ac:dyDescent="0.25"/>
  <cols>
    <col min="4" max="4" width="15.140625" bestFit="1" customWidth="1"/>
    <col min="5" max="5" width="15.140625" customWidth="1"/>
    <col min="6" max="6" width="23.140625" bestFit="1" customWidth="1"/>
    <col min="7" max="7" width="23.140625" customWidth="1"/>
    <col min="8" max="8" width="71.5703125" bestFit="1" customWidth="1"/>
    <col min="9" max="9" width="13.28515625" style="117" bestFit="1" customWidth="1"/>
    <col min="10" max="11" width="13.28515625" style="117" customWidth="1"/>
    <col min="12" max="12" width="13.28515625" style="117" bestFit="1" customWidth="1"/>
  </cols>
  <sheetData>
    <row r="3" spans="3:13" x14ac:dyDescent="0.25">
      <c r="F3" t="s">
        <v>301</v>
      </c>
    </row>
    <row r="5" spans="3:13" x14ac:dyDescent="0.25">
      <c r="C5" t="s">
        <v>226</v>
      </c>
      <c r="D5" t="s">
        <v>257</v>
      </c>
      <c r="E5" t="s">
        <v>327</v>
      </c>
      <c r="F5" t="s">
        <v>258</v>
      </c>
      <c r="G5" t="s">
        <v>259</v>
      </c>
      <c r="H5" t="s">
        <v>260</v>
      </c>
      <c r="I5" s="117" t="s">
        <v>302</v>
      </c>
      <c r="J5" s="117" t="s">
        <v>303</v>
      </c>
      <c r="K5" s="117" t="s">
        <v>211</v>
      </c>
      <c r="L5" s="117" t="s">
        <v>304</v>
      </c>
    </row>
    <row r="6" spans="3:13" x14ac:dyDescent="0.25">
      <c r="C6" t="s">
        <v>277</v>
      </c>
      <c r="D6" t="s">
        <v>278</v>
      </c>
      <c r="E6" t="s">
        <v>304</v>
      </c>
      <c r="F6">
        <v>100367</v>
      </c>
      <c r="G6" s="2">
        <v>40329</v>
      </c>
      <c r="H6" s="2" t="s">
        <v>279</v>
      </c>
      <c r="L6" s="117">
        <v>30000</v>
      </c>
      <c r="M6" t="s">
        <v>305</v>
      </c>
    </row>
    <row r="7" spans="3:13" x14ac:dyDescent="0.25">
      <c r="C7" t="s">
        <v>277</v>
      </c>
      <c r="D7" t="s">
        <v>280</v>
      </c>
      <c r="E7" t="s">
        <v>304</v>
      </c>
      <c r="F7">
        <v>100373</v>
      </c>
      <c r="G7" s="2">
        <v>40319</v>
      </c>
      <c r="H7" s="2" t="s">
        <v>281</v>
      </c>
      <c r="L7" s="117">
        <v>8000</v>
      </c>
      <c r="M7" t="s">
        <v>305</v>
      </c>
    </row>
    <row r="8" spans="3:13" x14ac:dyDescent="0.25">
      <c r="C8" t="s">
        <v>277</v>
      </c>
      <c r="D8" t="s">
        <v>282</v>
      </c>
      <c r="E8" t="s">
        <v>304</v>
      </c>
      <c r="F8">
        <v>100368</v>
      </c>
      <c r="G8" s="2">
        <v>40329</v>
      </c>
      <c r="H8" s="2" t="s">
        <v>283</v>
      </c>
      <c r="L8" s="117">
        <v>90000</v>
      </c>
      <c r="M8" t="s">
        <v>305</v>
      </c>
    </row>
    <row r="9" spans="3:13" x14ac:dyDescent="0.25">
      <c r="C9" t="s">
        <v>277</v>
      </c>
      <c r="D9" t="s">
        <v>284</v>
      </c>
      <c r="E9" t="s">
        <v>304</v>
      </c>
      <c r="F9">
        <v>100371</v>
      </c>
      <c r="G9" s="2">
        <v>40329</v>
      </c>
      <c r="H9" s="2" t="s">
        <v>285</v>
      </c>
      <c r="L9" s="117">
        <v>45000</v>
      </c>
      <c r="M9" t="s">
        <v>305</v>
      </c>
    </row>
    <row r="10" spans="3:13" x14ac:dyDescent="0.25">
      <c r="C10" t="s">
        <v>277</v>
      </c>
      <c r="D10" t="s">
        <v>286</v>
      </c>
      <c r="E10" t="s">
        <v>304</v>
      </c>
      <c r="F10">
        <v>100369</v>
      </c>
      <c r="G10" s="2">
        <v>40329</v>
      </c>
      <c r="H10" s="2" t="s">
        <v>287</v>
      </c>
      <c r="L10" s="117">
        <v>100000</v>
      </c>
      <c r="M10" t="s">
        <v>305</v>
      </c>
    </row>
    <row r="11" spans="3:13" x14ac:dyDescent="0.25">
      <c r="C11" t="s">
        <v>277</v>
      </c>
      <c r="D11" t="s">
        <v>288</v>
      </c>
      <c r="E11" t="s">
        <v>304</v>
      </c>
      <c r="F11">
        <v>100370</v>
      </c>
      <c r="G11" s="2">
        <v>40319</v>
      </c>
      <c r="H11" s="2" t="s">
        <v>289</v>
      </c>
      <c r="L11" s="117">
        <v>45000</v>
      </c>
      <c r="M11" t="s">
        <v>305</v>
      </c>
    </row>
    <row r="12" spans="3:13" x14ac:dyDescent="0.25">
      <c r="C12" t="s">
        <v>277</v>
      </c>
      <c r="D12" t="s">
        <v>290</v>
      </c>
      <c r="E12" t="s">
        <v>304</v>
      </c>
      <c r="F12">
        <v>100372</v>
      </c>
      <c r="G12" s="2">
        <v>40319</v>
      </c>
      <c r="H12" s="2" t="s">
        <v>291</v>
      </c>
      <c r="L12" s="117">
        <v>1061000</v>
      </c>
      <c r="M12" t="s">
        <v>305</v>
      </c>
    </row>
    <row r="13" spans="3:13" x14ac:dyDescent="0.25">
      <c r="C13" t="s">
        <v>277</v>
      </c>
      <c r="D13" t="s">
        <v>292</v>
      </c>
      <c r="E13" t="s">
        <v>304</v>
      </c>
      <c r="F13">
        <v>100374</v>
      </c>
      <c r="G13" s="2">
        <v>40319</v>
      </c>
      <c r="H13" s="2" t="s">
        <v>293</v>
      </c>
      <c r="L13" s="117">
        <v>599000</v>
      </c>
      <c r="M13" t="s">
        <v>305</v>
      </c>
    </row>
    <row r="14" spans="3:13" x14ac:dyDescent="0.25">
      <c r="C14" t="s">
        <v>277</v>
      </c>
      <c r="D14" t="s">
        <v>294</v>
      </c>
      <c r="E14" t="s">
        <v>304</v>
      </c>
      <c r="F14">
        <v>100375</v>
      </c>
      <c r="G14" s="2">
        <v>40329</v>
      </c>
      <c r="H14" s="2" t="s">
        <v>295</v>
      </c>
      <c r="L14" s="117">
        <v>86000</v>
      </c>
      <c r="M14" t="s">
        <v>305</v>
      </c>
    </row>
    <row r="15" spans="3:13" x14ac:dyDescent="0.25">
      <c r="C15" t="s">
        <v>277</v>
      </c>
      <c r="D15" t="s">
        <v>296</v>
      </c>
      <c r="E15" t="s">
        <v>328</v>
      </c>
      <c r="F15">
        <v>168</v>
      </c>
      <c r="G15" s="2">
        <v>40330</v>
      </c>
      <c r="H15" s="2" t="s">
        <v>297</v>
      </c>
      <c r="I15" s="117">
        <f>K15/1.12</f>
        <v>3393615.4999999995</v>
      </c>
      <c r="J15" s="117">
        <f>I15*12%</f>
        <v>407233.85999999993</v>
      </c>
      <c r="K15" s="117">
        <v>3800849.36</v>
      </c>
      <c r="M15" t="s">
        <v>305</v>
      </c>
    </row>
    <row r="16" spans="3:13" x14ac:dyDescent="0.25">
      <c r="C16" t="s">
        <v>277</v>
      </c>
      <c r="D16" t="s">
        <v>296</v>
      </c>
      <c r="E16" t="s">
        <v>304</v>
      </c>
      <c r="F16">
        <v>100388</v>
      </c>
      <c r="G16" s="2">
        <v>40329</v>
      </c>
      <c r="H16" s="2" t="s">
        <v>297</v>
      </c>
      <c r="L16" s="117">
        <v>1139908.5</v>
      </c>
      <c r="M16" t="s">
        <v>305</v>
      </c>
    </row>
    <row r="17" spans="3:13" x14ac:dyDescent="0.25">
      <c r="C17" t="s">
        <v>277</v>
      </c>
      <c r="D17" t="s">
        <v>298</v>
      </c>
      <c r="E17" t="s">
        <v>328</v>
      </c>
      <c r="F17">
        <v>165</v>
      </c>
      <c r="G17" s="2">
        <v>40330</v>
      </c>
      <c r="H17" s="2" t="s">
        <v>299</v>
      </c>
      <c r="I17" s="117">
        <f>K17/1.12</f>
        <v>2048962.3749999998</v>
      </c>
      <c r="J17" s="117">
        <f>I17*12%</f>
        <v>245875.48499999996</v>
      </c>
      <c r="K17" s="117">
        <v>2294837.86</v>
      </c>
      <c r="M17" t="s">
        <v>305</v>
      </c>
    </row>
    <row r="18" spans="3:13" x14ac:dyDescent="0.25">
      <c r="C18" t="s">
        <v>229</v>
      </c>
      <c r="D18" t="s">
        <v>265</v>
      </c>
      <c r="E18" t="s">
        <v>304</v>
      </c>
      <c r="F18">
        <v>100376</v>
      </c>
      <c r="G18" s="2">
        <v>40329</v>
      </c>
      <c r="H18" s="2" t="s">
        <v>266</v>
      </c>
      <c r="L18" s="117">
        <v>116684</v>
      </c>
      <c r="M18" t="s">
        <v>305</v>
      </c>
    </row>
    <row r="19" spans="3:13" x14ac:dyDescent="0.25">
      <c r="C19" t="s">
        <v>229</v>
      </c>
      <c r="D19" t="s">
        <v>265</v>
      </c>
      <c r="E19" t="s">
        <v>328</v>
      </c>
      <c r="F19">
        <v>166</v>
      </c>
      <c r="G19" s="2">
        <v>40330</v>
      </c>
      <c r="H19" s="2" t="s">
        <v>266</v>
      </c>
      <c r="I19" s="117">
        <f>K19/1.12</f>
        <v>374843.74999999994</v>
      </c>
      <c r="J19" s="117">
        <f>I19*12%</f>
        <v>44981.249999999993</v>
      </c>
      <c r="K19" s="117">
        <v>419825</v>
      </c>
      <c r="M19" t="s">
        <v>305</v>
      </c>
    </row>
    <row r="20" spans="3:13" x14ac:dyDescent="0.25">
      <c r="C20" t="s">
        <v>229</v>
      </c>
      <c r="D20" t="s">
        <v>267</v>
      </c>
      <c r="E20" t="s">
        <v>304</v>
      </c>
      <c r="F20">
        <v>100377</v>
      </c>
      <c r="G20" s="2">
        <v>40329</v>
      </c>
      <c r="H20" s="2" t="s">
        <v>268</v>
      </c>
      <c r="L20" s="117">
        <v>896220</v>
      </c>
      <c r="M20" t="s">
        <v>305</v>
      </c>
    </row>
    <row r="21" spans="3:13" x14ac:dyDescent="0.25">
      <c r="C21" t="s">
        <v>229</v>
      </c>
      <c r="D21" t="s">
        <v>269</v>
      </c>
      <c r="E21" t="s">
        <v>304</v>
      </c>
      <c r="F21">
        <v>100378</v>
      </c>
      <c r="G21" s="2">
        <v>40329</v>
      </c>
      <c r="H21" s="2" t="s">
        <v>270</v>
      </c>
      <c r="L21" s="117">
        <v>773180</v>
      </c>
      <c r="M21" t="s">
        <v>305</v>
      </c>
    </row>
    <row r="22" spans="3:13" x14ac:dyDescent="0.25">
      <c r="C22" t="s">
        <v>229</v>
      </c>
      <c r="D22" t="s">
        <v>271</v>
      </c>
      <c r="E22" t="s">
        <v>304</v>
      </c>
      <c r="F22">
        <v>100379</v>
      </c>
      <c r="G22" s="2">
        <v>40329</v>
      </c>
      <c r="H22" s="2" t="s">
        <v>272</v>
      </c>
      <c r="L22" s="117">
        <v>76500</v>
      </c>
      <c r="M22" t="s">
        <v>305</v>
      </c>
    </row>
    <row r="23" spans="3:13" x14ac:dyDescent="0.25">
      <c r="C23" t="s">
        <v>229</v>
      </c>
      <c r="D23" t="s">
        <v>273</v>
      </c>
      <c r="E23" t="s">
        <v>304</v>
      </c>
      <c r="F23">
        <v>100380</v>
      </c>
      <c r="G23" s="2">
        <v>40329</v>
      </c>
      <c r="H23" s="2" t="s">
        <v>274</v>
      </c>
      <c r="L23" s="117">
        <v>326250</v>
      </c>
      <c r="M23" t="s">
        <v>305</v>
      </c>
    </row>
    <row r="24" spans="3:13" x14ac:dyDescent="0.25">
      <c r="C24" t="s">
        <v>229</v>
      </c>
      <c r="D24" t="s">
        <v>275</v>
      </c>
      <c r="E24" t="s">
        <v>328</v>
      </c>
      <c r="F24">
        <v>164</v>
      </c>
      <c r="G24" s="2">
        <v>40330</v>
      </c>
      <c r="H24" s="2" t="s">
        <v>276</v>
      </c>
      <c r="I24" s="117">
        <f>K24/1.12</f>
        <v>730291.41071428568</v>
      </c>
      <c r="J24" s="117">
        <f>I24*12%</f>
        <v>87634.96928571428</v>
      </c>
      <c r="K24" s="117">
        <v>817926.38</v>
      </c>
      <c r="M24" t="s">
        <v>305</v>
      </c>
    </row>
    <row r="25" spans="3:13" x14ac:dyDescent="0.25">
      <c r="C25" t="s">
        <v>322</v>
      </c>
      <c r="D25" t="s">
        <v>323</v>
      </c>
      <c r="E25" t="s">
        <v>304</v>
      </c>
      <c r="F25">
        <v>2000207</v>
      </c>
      <c r="G25" s="2">
        <v>40354</v>
      </c>
      <c r="H25" s="2" t="s">
        <v>324</v>
      </c>
      <c r="L25" s="117">
        <v>262913</v>
      </c>
      <c r="M25" t="s">
        <v>305</v>
      </c>
    </row>
    <row r="26" spans="3:13" x14ac:dyDescent="0.25">
      <c r="C26" t="s">
        <v>329</v>
      </c>
      <c r="D26" t="s">
        <v>330</v>
      </c>
      <c r="E26" t="s">
        <v>328</v>
      </c>
      <c r="F26">
        <v>179</v>
      </c>
      <c r="G26" s="2">
        <v>40368</v>
      </c>
      <c r="H26" s="2" t="s">
        <v>335</v>
      </c>
      <c r="I26" s="117">
        <v>1102301.6100000001</v>
      </c>
      <c r="J26" s="117">
        <f>I26*12%</f>
        <v>132276.19320000001</v>
      </c>
      <c r="K26" s="117">
        <f>SUM(I26:J26)</f>
        <v>1234577.8032000002</v>
      </c>
      <c r="M26" t="s">
        <v>305</v>
      </c>
    </row>
    <row r="27" spans="3:13" x14ac:dyDescent="0.25">
      <c r="C27" t="s">
        <v>329</v>
      </c>
      <c r="D27" t="s">
        <v>331</v>
      </c>
      <c r="E27" t="s">
        <v>328</v>
      </c>
      <c r="F27">
        <v>180</v>
      </c>
      <c r="G27" s="2">
        <v>40368</v>
      </c>
      <c r="H27" s="2" t="s">
        <v>336</v>
      </c>
      <c r="I27" s="117">
        <v>934339.23</v>
      </c>
      <c r="J27" s="117">
        <f>I27*12%</f>
        <v>112120.70759999999</v>
      </c>
      <c r="K27" s="117">
        <f>SUM(I27:J27)</f>
        <v>1046459.9375999999</v>
      </c>
      <c r="M27" t="s">
        <v>305</v>
      </c>
    </row>
    <row r="28" spans="3:13" x14ac:dyDescent="0.25">
      <c r="C28" t="s">
        <v>329</v>
      </c>
      <c r="D28" t="s">
        <v>332</v>
      </c>
      <c r="E28" t="s">
        <v>328</v>
      </c>
      <c r="F28">
        <v>181</v>
      </c>
      <c r="G28" s="2">
        <v>40368</v>
      </c>
      <c r="H28" s="2" t="s">
        <v>337</v>
      </c>
      <c r="I28" s="117">
        <v>2673144.15</v>
      </c>
      <c r="J28" s="117">
        <f>I28*12%</f>
        <v>320777.29799999995</v>
      </c>
      <c r="K28" s="117">
        <f>SUM(I28:J28)</f>
        <v>2993921.4479999999</v>
      </c>
      <c r="M28" t="s">
        <v>305</v>
      </c>
    </row>
    <row r="29" spans="3:13" x14ac:dyDescent="0.25">
      <c r="C29" t="s">
        <v>329</v>
      </c>
      <c r="D29" t="s">
        <v>333</v>
      </c>
      <c r="E29" t="s">
        <v>328</v>
      </c>
      <c r="H29" s="2" t="s">
        <v>339</v>
      </c>
      <c r="J29" s="117">
        <f>I29*12%</f>
        <v>0</v>
      </c>
      <c r="K29" s="117">
        <f>SUM(I29:J29)</f>
        <v>0</v>
      </c>
    </row>
    <row r="30" spans="3:13" x14ac:dyDescent="0.25">
      <c r="C30" t="s">
        <v>329</v>
      </c>
      <c r="D30" t="s">
        <v>334</v>
      </c>
      <c r="E30" t="s">
        <v>328</v>
      </c>
      <c r="F30">
        <v>182</v>
      </c>
      <c r="G30" s="2">
        <v>40368</v>
      </c>
      <c r="H30" s="2" t="s">
        <v>338</v>
      </c>
      <c r="I30" s="117">
        <v>183775.9</v>
      </c>
      <c r="J30" s="117">
        <f>I30*12%</f>
        <v>22053.108</v>
      </c>
      <c r="K30" s="117">
        <f>SUM(I30:J30)</f>
        <v>205829.008</v>
      </c>
      <c r="M30" t="s">
        <v>305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84"/>
  <sheetViews>
    <sheetView topLeftCell="C1" zoomScaleNormal="100" workbookViewId="0">
      <pane ySplit="7" topLeftCell="A8" activePane="bottomLeft" state="frozenSplit"/>
      <selection pane="bottomLeft" activeCell="L18" sqref="L18"/>
    </sheetView>
  </sheetViews>
  <sheetFormatPr defaultRowHeight="15" x14ac:dyDescent="0.25"/>
  <cols>
    <col min="1" max="1" width="12" customWidth="1"/>
    <col min="2" max="2" width="36.85546875" customWidth="1"/>
    <col min="3" max="3" width="7.140625" bestFit="1" customWidth="1"/>
    <col min="4" max="4" width="17.28515625" customWidth="1"/>
    <col min="5" max="5" width="16.140625" bestFit="1" customWidth="1"/>
    <col min="6" max="6" width="3.28515625" customWidth="1"/>
    <col min="7" max="7" width="2.28515625" hidden="1" customWidth="1"/>
    <col min="8" max="8" width="9.28515625" style="60" bestFit="1" customWidth="1"/>
    <col min="9" max="9" width="11.42578125" style="59" customWidth="1"/>
    <col min="10" max="10" width="15.85546875" style="2" bestFit="1" customWidth="1"/>
    <col min="11" max="11" width="16.28515625" style="2" bestFit="1" customWidth="1"/>
    <col min="12" max="13" width="16.140625" bestFit="1" customWidth="1"/>
    <col min="14" max="14" width="36.28515625" style="21" customWidth="1"/>
    <col min="15" max="15" width="14.28515625" bestFit="1" customWidth="1"/>
  </cols>
  <sheetData>
    <row r="1" spans="1:14" x14ac:dyDescent="0.25">
      <c r="A1" s="1" t="s">
        <v>71</v>
      </c>
      <c r="B1" s="1"/>
      <c r="C1" t="s">
        <v>5</v>
      </c>
    </row>
    <row r="2" spans="1:14" x14ac:dyDescent="0.25">
      <c r="A2" s="1" t="s">
        <v>72</v>
      </c>
      <c r="B2" s="1" t="s">
        <v>2</v>
      </c>
      <c r="C2" t="s">
        <v>6</v>
      </c>
    </row>
    <row r="3" spans="1:14" x14ac:dyDescent="0.25">
      <c r="C3" t="s">
        <v>7</v>
      </c>
    </row>
    <row r="4" spans="1:14" x14ac:dyDescent="0.25">
      <c r="A4" t="s">
        <v>3</v>
      </c>
      <c r="B4" t="s">
        <v>4</v>
      </c>
      <c r="C4" t="s">
        <v>8</v>
      </c>
    </row>
    <row r="5" spans="1:14" ht="15.75" thickBot="1" x14ac:dyDescent="0.3"/>
    <row r="6" spans="1:14" x14ac:dyDescent="0.25">
      <c r="A6" s="43"/>
      <c r="B6" s="44" t="s">
        <v>12</v>
      </c>
      <c r="C6" s="6" t="s">
        <v>13</v>
      </c>
      <c r="D6" s="6" t="s">
        <v>42</v>
      </c>
      <c r="E6" s="24">
        <v>10218950</v>
      </c>
      <c r="F6" s="17"/>
      <c r="H6" s="61" t="s">
        <v>10</v>
      </c>
      <c r="I6" s="92" t="s">
        <v>10</v>
      </c>
      <c r="J6" s="41"/>
      <c r="K6" s="97" t="s">
        <v>222</v>
      </c>
      <c r="L6" s="23" t="s">
        <v>11</v>
      </c>
      <c r="M6" s="82" t="s">
        <v>204</v>
      </c>
      <c r="N6" s="83" t="s">
        <v>205</v>
      </c>
    </row>
    <row r="7" spans="1:14" ht="15.75" thickBot="1" x14ac:dyDescent="0.3">
      <c r="A7" s="45" t="s">
        <v>43</v>
      </c>
      <c r="B7" s="46" t="s">
        <v>18</v>
      </c>
      <c r="C7" s="27"/>
      <c r="D7" s="47" t="s">
        <v>14</v>
      </c>
      <c r="E7" s="10" t="s">
        <v>15</v>
      </c>
      <c r="F7" s="17"/>
      <c r="H7" s="62" t="s">
        <v>73</v>
      </c>
      <c r="I7" s="90" t="s">
        <v>17</v>
      </c>
      <c r="J7" s="93" t="s">
        <v>131</v>
      </c>
      <c r="K7" s="93"/>
      <c r="L7" s="10" t="s">
        <v>14</v>
      </c>
      <c r="M7" s="9"/>
      <c r="N7" s="84"/>
    </row>
    <row r="8" spans="1:14" x14ac:dyDescent="0.25">
      <c r="A8" s="1" t="s">
        <v>19</v>
      </c>
      <c r="B8" s="15"/>
      <c r="C8" s="16">
        <v>0.1</v>
      </c>
      <c r="D8" s="32">
        <f>+$E$6*C8</f>
        <v>1021895</v>
      </c>
      <c r="E8" s="33">
        <f>+D8</f>
        <v>1021895</v>
      </c>
      <c r="F8" s="17"/>
      <c r="H8" s="60">
        <v>42</v>
      </c>
      <c r="I8" s="59">
        <v>40015</v>
      </c>
      <c r="J8" s="2" t="s">
        <v>132</v>
      </c>
      <c r="K8" s="33">
        <v>1021895</v>
      </c>
      <c r="L8" s="33">
        <f>E8</f>
        <v>1021895</v>
      </c>
      <c r="M8" s="58">
        <f>K8-L8</f>
        <v>0</v>
      </c>
    </row>
    <row r="9" spans="1:14" x14ac:dyDescent="0.25">
      <c r="A9" s="1"/>
      <c r="B9" s="15"/>
      <c r="C9" s="16"/>
      <c r="D9" s="70" t="s">
        <v>201</v>
      </c>
      <c r="E9" s="34">
        <f>E8*12%</f>
        <v>122627.4</v>
      </c>
      <c r="F9" s="17"/>
      <c r="K9" s="34">
        <v>122627.4</v>
      </c>
      <c r="L9" s="34">
        <f>E9</f>
        <v>122627.4</v>
      </c>
      <c r="M9" s="58">
        <f>K9-L9</f>
        <v>0</v>
      </c>
    </row>
    <row r="10" spans="1:14" x14ac:dyDescent="0.25">
      <c r="A10" s="1"/>
      <c r="B10" s="15"/>
      <c r="C10" s="16"/>
      <c r="D10" s="70" t="s">
        <v>202</v>
      </c>
      <c r="E10" s="72">
        <f>-E8*4.5%</f>
        <v>-45985.275000000001</v>
      </c>
      <c r="F10" s="17"/>
      <c r="K10" s="72">
        <f>-K8*4.5%</f>
        <v>-45985.275000000001</v>
      </c>
      <c r="L10" s="72"/>
      <c r="M10" s="58">
        <f>K10-L10</f>
        <v>-45985.275000000001</v>
      </c>
      <c r="N10" s="21" t="s">
        <v>212</v>
      </c>
    </row>
    <row r="11" spans="1:14" ht="14.25" customHeight="1" x14ac:dyDescent="0.25">
      <c r="A11" s="1"/>
      <c r="B11" s="15"/>
      <c r="C11" s="16"/>
      <c r="D11" s="70" t="s">
        <v>41</v>
      </c>
      <c r="E11" s="34">
        <f>SUM(E8:E10)</f>
        <v>1098537.125</v>
      </c>
      <c r="F11" s="17"/>
      <c r="K11" s="35">
        <f>SUM(K8:K10)</f>
        <v>1098537.125</v>
      </c>
      <c r="L11" s="34">
        <f>SUM(L8:L10)</f>
        <v>1144522.3999999999</v>
      </c>
      <c r="M11" s="58">
        <f>K11-L11</f>
        <v>-45985.274999999907</v>
      </c>
    </row>
    <row r="12" spans="1:14" x14ac:dyDescent="0.25">
      <c r="A12" s="1" t="s">
        <v>20</v>
      </c>
      <c r="B12" s="15" t="s">
        <v>21</v>
      </c>
      <c r="C12" s="16"/>
      <c r="D12" s="14"/>
      <c r="E12" s="48"/>
      <c r="F12" s="17"/>
      <c r="L12" s="48"/>
    </row>
    <row r="13" spans="1:14" x14ac:dyDescent="0.25">
      <c r="B13" t="s">
        <v>44</v>
      </c>
      <c r="C13" s="16">
        <v>0.05</v>
      </c>
      <c r="D13" s="32">
        <f t="shared" ref="D13:D19" si="0">+$E$6*C13</f>
        <v>510947.5</v>
      </c>
      <c r="E13" s="36"/>
      <c r="F13" s="36"/>
      <c r="G13" s="35"/>
      <c r="H13" s="64" t="s">
        <v>136</v>
      </c>
      <c r="I13" s="59" t="s">
        <v>151</v>
      </c>
      <c r="J13" s="59">
        <v>40111</v>
      </c>
      <c r="K13" s="100">
        <f>255473.75*2</f>
        <v>510947.5</v>
      </c>
      <c r="L13" s="36"/>
      <c r="N13" s="85"/>
    </row>
    <row r="14" spans="1:14" x14ac:dyDescent="0.25">
      <c r="B14" t="s">
        <v>45</v>
      </c>
      <c r="C14" s="16">
        <v>0.05</v>
      </c>
      <c r="D14" s="32">
        <f t="shared" si="0"/>
        <v>510947.5</v>
      </c>
      <c r="E14" s="36"/>
      <c r="F14" s="36"/>
      <c r="G14" s="35"/>
      <c r="H14" s="64" t="s">
        <v>138</v>
      </c>
      <c r="I14" s="59" t="s">
        <v>151</v>
      </c>
      <c r="J14" s="59">
        <v>40111</v>
      </c>
      <c r="K14" s="100">
        <f t="shared" ref="K14:K19" si="1">D14</f>
        <v>510947.5</v>
      </c>
      <c r="L14" s="36"/>
      <c r="N14" s="85"/>
    </row>
    <row r="15" spans="1:14" x14ac:dyDescent="0.25">
      <c r="B15" t="s">
        <v>46</v>
      </c>
      <c r="C15" s="16">
        <v>0.03</v>
      </c>
      <c r="D15" s="32">
        <f t="shared" si="0"/>
        <v>306568.5</v>
      </c>
      <c r="E15" s="36"/>
      <c r="F15" s="36"/>
      <c r="G15" s="35"/>
      <c r="H15" s="64" t="s">
        <v>140</v>
      </c>
      <c r="I15" s="59" t="s">
        <v>151</v>
      </c>
      <c r="J15" s="59">
        <v>40111</v>
      </c>
      <c r="K15" s="100">
        <f t="shared" si="1"/>
        <v>306568.5</v>
      </c>
      <c r="L15" s="36"/>
      <c r="N15" s="85"/>
    </row>
    <row r="16" spans="1:14" x14ac:dyDescent="0.25">
      <c r="B16" t="s">
        <v>47</v>
      </c>
      <c r="C16" s="16">
        <v>0.02</v>
      </c>
      <c r="D16" s="32">
        <f t="shared" si="0"/>
        <v>204379</v>
      </c>
      <c r="E16" s="36"/>
      <c r="F16" s="36"/>
      <c r="G16" s="35"/>
      <c r="H16" s="64" t="s">
        <v>142</v>
      </c>
      <c r="I16" s="59" t="s">
        <v>151</v>
      </c>
      <c r="J16" s="59">
        <v>40111</v>
      </c>
      <c r="K16" s="100">
        <f t="shared" si="1"/>
        <v>204379</v>
      </c>
      <c r="L16" s="36"/>
      <c r="N16" s="85"/>
    </row>
    <row r="17" spans="1:15" x14ac:dyDescent="0.25">
      <c r="B17" t="s">
        <v>48</v>
      </c>
      <c r="C17" s="16">
        <v>0.02</v>
      </c>
      <c r="D17" s="32">
        <f t="shared" si="0"/>
        <v>204379</v>
      </c>
      <c r="E17" s="36"/>
      <c r="F17" s="36"/>
      <c r="G17" s="35"/>
      <c r="H17" s="64" t="s">
        <v>144</v>
      </c>
      <c r="I17" s="59" t="s">
        <v>151</v>
      </c>
      <c r="J17" s="59">
        <v>40111</v>
      </c>
      <c r="K17" s="100">
        <f t="shared" si="1"/>
        <v>204379</v>
      </c>
      <c r="L17" s="36"/>
      <c r="N17" s="85"/>
    </row>
    <row r="18" spans="1:15" ht="30" x14ac:dyDescent="0.25">
      <c r="B18" s="21" t="s">
        <v>49</v>
      </c>
      <c r="C18" s="16">
        <v>0.03</v>
      </c>
      <c r="D18" s="32">
        <f t="shared" si="0"/>
        <v>306568.5</v>
      </c>
      <c r="E18" s="36"/>
      <c r="F18" s="36"/>
      <c r="G18" s="35"/>
      <c r="H18" s="64" t="s">
        <v>146</v>
      </c>
      <c r="I18" s="59" t="s">
        <v>151</v>
      </c>
      <c r="J18" s="59">
        <v>40111</v>
      </c>
      <c r="K18" s="100">
        <f t="shared" si="1"/>
        <v>306568.5</v>
      </c>
      <c r="L18" s="36"/>
      <c r="N18" s="85"/>
    </row>
    <row r="19" spans="1:15" ht="30" x14ac:dyDescent="0.25">
      <c r="B19" s="21" t="s">
        <v>50</v>
      </c>
      <c r="C19" s="16">
        <v>0.05</v>
      </c>
      <c r="D19" s="32">
        <f t="shared" si="0"/>
        <v>510947.5</v>
      </c>
      <c r="E19" s="36"/>
      <c r="F19" s="36"/>
      <c r="G19" s="35"/>
      <c r="H19" s="64" t="s">
        <v>148</v>
      </c>
      <c r="I19" s="59" t="s">
        <v>151</v>
      </c>
      <c r="J19" s="59">
        <v>40111</v>
      </c>
      <c r="K19" s="100">
        <f t="shared" si="1"/>
        <v>510947.5</v>
      </c>
      <c r="L19" s="36"/>
      <c r="N19" s="85"/>
    </row>
    <row r="20" spans="1:15" x14ac:dyDescent="0.25">
      <c r="B20" s="1" t="s">
        <v>22</v>
      </c>
      <c r="C20" s="16"/>
      <c r="D20" s="70" t="s">
        <v>203</v>
      </c>
      <c r="E20" s="33">
        <f>SUM(D13:D19)</f>
        <v>2554737.5</v>
      </c>
      <c r="F20" s="36"/>
      <c r="G20" s="35"/>
      <c r="I20" s="59" t="s">
        <v>151</v>
      </c>
      <c r="J20" s="59">
        <v>40111</v>
      </c>
      <c r="K20" s="33">
        <f>SUM(K13:K19)</f>
        <v>2554737.5</v>
      </c>
      <c r="L20" s="33">
        <f>E20</f>
        <v>2554737.5</v>
      </c>
      <c r="M20" s="58">
        <f>K20-L20</f>
        <v>0</v>
      </c>
      <c r="N20" s="86" t="s">
        <v>149</v>
      </c>
    </row>
    <row r="21" spans="1:15" x14ac:dyDescent="0.25">
      <c r="B21" s="1"/>
      <c r="C21" s="16"/>
      <c r="D21" s="70" t="s">
        <v>201</v>
      </c>
      <c r="E21" s="34">
        <f>E20*12%</f>
        <v>306568.5</v>
      </c>
      <c r="F21" s="36"/>
      <c r="G21" s="35"/>
      <c r="K21" s="34">
        <f>K20*12%</f>
        <v>306568.5</v>
      </c>
      <c r="L21" s="34">
        <f>L20*12%</f>
        <v>306568.5</v>
      </c>
      <c r="M21" s="58">
        <f>K21-L21</f>
        <v>0</v>
      </c>
      <c r="N21" s="86"/>
    </row>
    <row r="22" spans="1:15" ht="30" x14ac:dyDescent="0.25">
      <c r="B22" s="1"/>
      <c r="C22" s="16"/>
      <c r="D22" s="70" t="s">
        <v>202</v>
      </c>
      <c r="E22" s="72">
        <f>-E20*4.5%</f>
        <v>-114963.1875</v>
      </c>
      <c r="F22" s="36"/>
      <c r="G22" s="35"/>
      <c r="K22" s="72">
        <f>-K20*4.5%</f>
        <v>-114963.1875</v>
      </c>
      <c r="L22" s="72">
        <f>-L20*4.5%-45985.28</f>
        <v>-160948.4675</v>
      </c>
      <c r="M22" s="58">
        <f>K22-L22</f>
        <v>45985.279999999999</v>
      </c>
      <c r="N22" s="94" t="s">
        <v>218</v>
      </c>
    </row>
    <row r="23" spans="1:15" x14ac:dyDescent="0.25">
      <c r="B23" s="1"/>
      <c r="C23" s="16"/>
      <c r="D23" s="70" t="s">
        <v>41</v>
      </c>
      <c r="E23" s="34">
        <f>SUM(E20:E22)</f>
        <v>2746342.8125</v>
      </c>
      <c r="F23" s="36"/>
      <c r="G23" s="35"/>
      <c r="K23" s="34">
        <f>SUM(K20:K22)</f>
        <v>2746342.8125</v>
      </c>
      <c r="L23" s="34">
        <f>SUM(L20:L22)</f>
        <v>2700357.5325000002</v>
      </c>
      <c r="M23" s="58">
        <f>K23-L23</f>
        <v>45985.279999999795</v>
      </c>
      <c r="N23" s="94" t="s">
        <v>219</v>
      </c>
    </row>
    <row r="24" spans="1:15" x14ac:dyDescent="0.25">
      <c r="A24" s="1" t="s">
        <v>23</v>
      </c>
      <c r="B24" s="15" t="s">
        <v>24</v>
      </c>
      <c r="C24" s="15"/>
      <c r="D24" s="37"/>
      <c r="E24" s="34"/>
      <c r="F24" s="36"/>
      <c r="G24" s="35"/>
      <c r="L24" s="34"/>
      <c r="N24" s="85"/>
    </row>
    <row r="25" spans="1:15" x14ac:dyDescent="0.25">
      <c r="A25" s="1"/>
      <c r="B25" s="16" t="s">
        <v>51</v>
      </c>
      <c r="C25" s="16">
        <v>0.06</v>
      </c>
      <c r="D25" s="32">
        <f>+$E$6*C25</f>
        <v>613137</v>
      </c>
      <c r="E25" s="34"/>
      <c r="F25" s="34"/>
      <c r="G25" s="35"/>
      <c r="H25" s="64" t="s">
        <v>152</v>
      </c>
      <c r="I25" s="59" t="s">
        <v>151</v>
      </c>
      <c r="J25" s="2">
        <v>40217</v>
      </c>
      <c r="K25" s="34">
        <f>153284.25+153284.25</f>
        <v>306568.5</v>
      </c>
      <c r="L25" s="34"/>
      <c r="M25" s="58"/>
      <c r="N25" s="85"/>
    </row>
    <row r="26" spans="1:15" x14ac:dyDescent="0.25">
      <c r="A26" s="1"/>
      <c r="B26" s="16" t="s">
        <v>52</v>
      </c>
      <c r="C26" s="16">
        <v>0.02</v>
      </c>
      <c r="D26" s="32">
        <f>+$E$6*C26</f>
        <v>204379</v>
      </c>
      <c r="E26" s="34"/>
      <c r="F26" s="34"/>
      <c r="G26" s="35"/>
      <c r="H26" s="64" t="s">
        <v>154</v>
      </c>
      <c r="I26" s="59" t="s">
        <v>151</v>
      </c>
      <c r="J26" s="2">
        <v>40217</v>
      </c>
      <c r="K26" s="34">
        <f>51094.75*2</f>
        <v>102189.5</v>
      </c>
      <c r="L26" s="34"/>
      <c r="N26" s="85"/>
    </row>
    <row r="27" spans="1:15" x14ac:dyDescent="0.25">
      <c r="A27" s="1"/>
      <c r="B27" s="16" t="s">
        <v>53</v>
      </c>
      <c r="C27" s="16">
        <v>0.02</v>
      </c>
      <c r="D27" s="32">
        <f>+$E$6*C27</f>
        <v>204379</v>
      </c>
      <c r="E27" s="34"/>
      <c r="F27" s="34"/>
      <c r="G27" s="35"/>
      <c r="H27" s="64" t="s">
        <v>156</v>
      </c>
      <c r="I27" s="59" t="s">
        <v>151</v>
      </c>
      <c r="J27" s="2">
        <v>40217</v>
      </c>
      <c r="K27" s="34">
        <f>51094.75*2</f>
        <v>102189.5</v>
      </c>
      <c r="L27" s="34"/>
      <c r="N27" s="85"/>
    </row>
    <row r="28" spans="1:15" ht="45" x14ac:dyDescent="0.25">
      <c r="A28" s="1"/>
      <c r="B28" s="15" t="s">
        <v>25</v>
      </c>
      <c r="C28" s="16"/>
      <c r="D28" s="32"/>
      <c r="E28" s="33">
        <f>SUM(D25:D27)</f>
        <v>1021895</v>
      </c>
      <c r="F28" s="34"/>
      <c r="G28" s="35"/>
      <c r="I28" s="59" t="s">
        <v>151</v>
      </c>
      <c r="J28" s="2">
        <v>40217</v>
      </c>
      <c r="K28" s="33">
        <f>SUM(K25:K27)</f>
        <v>510947.5</v>
      </c>
      <c r="L28" s="33">
        <v>510947.5</v>
      </c>
      <c r="M28" s="58">
        <f>K28-L28</f>
        <v>0</v>
      </c>
      <c r="N28" s="85" t="s">
        <v>221</v>
      </c>
      <c r="O28" s="99">
        <f>E28-K28</f>
        <v>510947.5</v>
      </c>
    </row>
    <row r="29" spans="1:15" x14ac:dyDescent="0.25">
      <c r="A29" s="1"/>
      <c r="B29" s="15"/>
      <c r="C29" s="16"/>
      <c r="D29" s="70" t="s">
        <v>201</v>
      </c>
      <c r="E29" s="34">
        <f>E28*12%</f>
        <v>122627.4</v>
      </c>
      <c r="F29" s="34"/>
      <c r="G29" s="35"/>
      <c r="K29" s="34">
        <f>K28*12%</f>
        <v>61313.7</v>
      </c>
      <c r="L29" s="34">
        <f>L28*12%</f>
        <v>61313.7</v>
      </c>
      <c r="M29" s="58">
        <f>K29-L29</f>
        <v>0</v>
      </c>
    </row>
    <row r="30" spans="1:15" x14ac:dyDescent="0.25">
      <c r="A30" s="1"/>
      <c r="B30" s="15"/>
      <c r="C30" s="16"/>
      <c r="D30" s="70" t="s">
        <v>202</v>
      </c>
      <c r="E30" s="72">
        <f>-E28*4.5%</f>
        <v>-45985.275000000001</v>
      </c>
      <c r="F30" s="34"/>
      <c r="G30" s="35"/>
      <c r="K30" s="72">
        <f>-K28*4.5%</f>
        <v>-22992.637500000001</v>
      </c>
      <c r="L30" s="72">
        <f>-L28*4.5%</f>
        <v>-22992.637500000001</v>
      </c>
      <c r="M30" s="58">
        <f>K30-L30</f>
        <v>0</v>
      </c>
      <c r="N30" s="87"/>
    </row>
    <row r="31" spans="1:15" x14ac:dyDescent="0.25">
      <c r="A31" s="1"/>
      <c r="B31" s="15"/>
      <c r="C31" s="16"/>
      <c r="D31" s="70" t="s">
        <v>41</v>
      </c>
      <c r="E31" s="34">
        <f>SUM(E28:E30)</f>
        <v>1098537.125</v>
      </c>
      <c r="F31" s="34"/>
      <c r="G31" s="35"/>
      <c r="K31" s="34">
        <f>SUM(K28:K30)</f>
        <v>549268.5625</v>
      </c>
      <c r="L31" s="34">
        <f>SUM(L28:L30)</f>
        <v>549268.5625</v>
      </c>
      <c r="M31" s="58">
        <f>K31-L31</f>
        <v>0</v>
      </c>
      <c r="N31" s="87"/>
    </row>
    <row r="32" spans="1:15" x14ac:dyDescent="0.25">
      <c r="A32" s="1" t="s">
        <v>26</v>
      </c>
      <c r="B32" s="15" t="s">
        <v>27</v>
      </c>
      <c r="C32" s="16"/>
      <c r="D32" s="32"/>
      <c r="E32" s="35"/>
      <c r="F32" s="35"/>
      <c r="G32" s="35"/>
      <c r="L32" s="35"/>
    </row>
    <row r="33" spans="1:15" x14ac:dyDescent="0.25">
      <c r="B33" s="16" t="s">
        <v>54</v>
      </c>
      <c r="C33" s="16">
        <v>0.1</v>
      </c>
      <c r="D33" s="32">
        <f>+$E$6*C33</f>
        <v>1021895</v>
      </c>
      <c r="E33" s="35"/>
      <c r="F33" s="35"/>
      <c r="G33" s="35"/>
      <c r="H33" s="64" t="s">
        <v>157</v>
      </c>
      <c r="I33" s="59">
        <v>40219</v>
      </c>
      <c r="J33" s="2">
        <v>40220</v>
      </c>
      <c r="K33" s="100">
        <f>D33</f>
        <v>1021895</v>
      </c>
      <c r="L33" s="35"/>
      <c r="N33" s="85"/>
    </row>
    <row r="34" spans="1:15" x14ac:dyDescent="0.25">
      <c r="B34" s="16" t="s">
        <v>55</v>
      </c>
      <c r="C34" s="16">
        <v>0.02</v>
      </c>
      <c r="D34" s="32">
        <f>+$E$6*C34</f>
        <v>204379</v>
      </c>
      <c r="E34" s="35"/>
      <c r="F34" s="35"/>
      <c r="G34" s="35"/>
      <c r="H34" s="64" t="s">
        <v>159</v>
      </c>
      <c r="I34" s="59">
        <v>40219</v>
      </c>
      <c r="J34" s="2">
        <v>40220</v>
      </c>
      <c r="K34" s="100">
        <f>D34</f>
        <v>204379</v>
      </c>
      <c r="L34" s="35"/>
      <c r="N34" s="85"/>
    </row>
    <row r="35" spans="1:15" x14ac:dyDescent="0.25">
      <c r="B35" s="16" t="s">
        <v>56</v>
      </c>
      <c r="C35" s="16">
        <v>0.03</v>
      </c>
      <c r="D35" s="32">
        <f>+$E$6*C35</f>
        <v>306568.5</v>
      </c>
      <c r="E35" s="35"/>
      <c r="F35" s="35"/>
      <c r="G35" s="35"/>
      <c r="H35" s="64" t="s">
        <v>160</v>
      </c>
      <c r="I35" s="59">
        <v>40219</v>
      </c>
      <c r="J35" s="2">
        <v>40220</v>
      </c>
      <c r="K35" s="100">
        <f>D35</f>
        <v>306568.5</v>
      </c>
      <c r="L35" s="35"/>
      <c r="N35" s="85"/>
    </row>
    <row r="36" spans="1:15" ht="30" customHeight="1" x14ac:dyDescent="0.25">
      <c r="B36" s="19" t="s">
        <v>28</v>
      </c>
      <c r="C36" s="15"/>
      <c r="D36" s="37"/>
      <c r="E36" s="33">
        <f>SUM(D33:D35)</f>
        <v>1532842.5</v>
      </c>
      <c r="F36" s="38"/>
      <c r="G36" s="35"/>
      <c r="I36" s="59">
        <v>40219</v>
      </c>
      <c r="J36" s="2">
        <v>40220</v>
      </c>
      <c r="K36" s="33">
        <f>SUM(K33:K35)</f>
        <v>1532842.5</v>
      </c>
      <c r="L36" s="33">
        <v>1532842.5</v>
      </c>
      <c r="M36" s="58">
        <f>K36-L36</f>
        <v>0</v>
      </c>
      <c r="N36" s="85" t="s">
        <v>217</v>
      </c>
      <c r="O36" s="35">
        <f>E36-K36</f>
        <v>0</v>
      </c>
    </row>
    <row r="37" spans="1:15" x14ac:dyDescent="0.25">
      <c r="B37" s="19"/>
      <c r="C37" s="15"/>
      <c r="D37" s="70" t="s">
        <v>201</v>
      </c>
      <c r="E37" s="34">
        <f>E36*12%</f>
        <v>183941.1</v>
      </c>
      <c r="F37" s="38"/>
      <c r="G37" s="35"/>
      <c r="K37" s="34">
        <f>K36*12%</f>
        <v>183941.1</v>
      </c>
      <c r="L37" s="34">
        <f>L36*12%</f>
        <v>183941.1</v>
      </c>
      <c r="M37" s="58">
        <f>K37-L37</f>
        <v>0</v>
      </c>
    </row>
    <row r="38" spans="1:15" x14ac:dyDescent="0.25">
      <c r="B38" s="19"/>
      <c r="C38" s="15"/>
      <c r="D38" s="70" t="s">
        <v>202</v>
      </c>
      <c r="E38" s="72">
        <f>-E36*4.5%</f>
        <v>-68977.912499999991</v>
      </c>
      <c r="F38" s="38"/>
      <c r="G38" s="35"/>
      <c r="K38" s="72">
        <f>-K36*4.5%</f>
        <v>-68977.912499999991</v>
      </c>
      <c r="L38" s="72">
        <f>-L36*4.5%</f>
        <v>-68977.912499999991</v>
      </c>
      <c r="M38" s="58">
        <f>K38-L38</f>
        <v>0</v>
      </c>
      <c r="N38" s="87"/>
    </row>
    <row r="39" spans="1:15" x14ac:dyDescent="0.25">
      <c r="B39" s="19"/>
      <c r="C39" s="15"/>
      <c r="D39" s="70" t="s">
        <v>41</v>
      </c>
      <c r="E39" s="34">
        <f>SUM(E36:E38)</f>
        <v>1647805.6875</v>
      </c>
      <c r="F39" s="38"/>
      <c r="G39" s="35"/>
      <c r="K39" s="34">
        <f>SUM(K36:K38)</f>
        <v>1647805.6875</v>
      </c>
      <c r="L39" s="34">
        <f>SUM(L36:L38)</f>
        <v>1647805.6875</v>
      </c>
      <c r="M39" s="58">
        <f>K39-L39</f>
        <v>0</v>
      </c>
      <c r="N39" s="87"/>
    </row>
    <row r="40" spans="1:15" x14ac:dyDescent="0.25">
      <c r="A40" s="1" t="s">
        <v>29</v>
      </c>
      <c r="B40" s="20" t="s">
        <v>30</v>
      </c>
      <c r="C40" s="16"/>
      <c r="D40" s="35"/>
      <c r="E40" s="35"/>
      <c r="F40" s="35"/>
      <c r="G40" s="35"/>
      <c r="L40" s="35"/>
    </row>
    <row r="41" spans="1:15" x14ac:dyDescent="0.25">
      <c r="B41" s="13" t="s">
        <v>57</v>
      </c>
      <c r="C41" s="16">
        <v>0.04</v>
      </c>
      <c r="D41" s="32">
        <f>+$E$6*C41</f>
        <v>408758</v>
      </c>
      <c r="E41" s="35"/>
      <c r="F41" s="35"/>
      <c r="G41" s="35"/>
      <c r="H41" s="64" t="s">
        <v>169</v>
      </c>
      <c r="I41" s="59">
        <v>40302</v>
      </c>
      <c r="J41" s="35" t="s">
        <v>165</v>
      </c>
      <c r="K41" s="35">
        <f>204379*2</f>
        <v>408758</v>
      </c>
      <c r="L41" s="35"/>
      <c r="N41" s="85"/>
    </row>
    <row r="42" spans="1:15" x14ac:dyDescent="0.25">
      <c r="B42" s="13" t="s">
        <v>58</v>
      </c>
      <c r="C42" s="16">
        <v>0.03</v>
      </c>
      <c r="D42" s="32">
        <f>+$E$6*C42</f>
        <v>306568.5</v>
      </c>
      <c r="E42" s="35"/>
      <c r="F42" s="35"/>
      <c r="G42" s="35"/>
      <c r="H42" s="64" t="s">
        <v>170</v>
      </c>
      <c r="I42" s="59">
        <v>40302</v>
      </c>
      <c r="J42" s="35" t="s">
        <v>165</v>
      </c>
      <c r="K42" s="35">
        <f>153284.25*2</f>
        <v>306568.5</v>
      </c>
      <c r="L42" s="35"/>
      <c r="N42" s="85"/>
    </row>
    <row r="43" spans="1:15" x14ac:dyDescent="0.25">
      <c r="B43" s="13" t="s">
        <v>59</v>
      </c>
      <c r="C43" s="16">
        <v>0.03</v>
      </c>
      <c r="D43" s="32">
        <f>+$E$6*C43</f>
        <v>306568.5</v>
      </c>
      <c r="E43" s="35"/>
      <c r="F43" s="35"/>
      <c r="G43" s="35"/>
      <c r="H43" s="64" t="s">
        <v>171</v>
      </c>
      <c r="I43" s="59">
        <v>40302</v>
      </c>
      <c r="J43" s="35" t="s">
        <v>165</v>
      </c>
      <c r="K43" s="35">
        <f>153284.25*2</f>
        <v>306568.5</v>
      </c>
      <c r="L43" s="35"/>
      <c r="N43" s="95"/>
    </row>
    <row r="44" spans="1:15" x14ac:dyDescent="0.25">
      <c r="B44" s="96" t="s">
        <v>220</v>
      </c>
      <c r="C44" s="16"/>
      <c r="D44" s="32"/>
      <c r="E44" s="35"/>
      <c r="F44" s="35"/>
      <c r="G44" s="35"/>
      <c r="H44" s="60">
        <v>112</v>
      </c>
      <c r="I44" s="59">
        <v>40302</v>
      </c>
      <c r="J44" s="35" t="s">
        <v>165</v>
      </c>
      <c r="K44" s="35">
        <v>510947.5</v>
      </c>
      <c r="L44" s="35"/>
      <c r="N44" s="95"/>
    </row>
    <row r="45" spans="1:15" ht="30" x14ac:dyDescent="0.25">
      <c r="B45" s="20" t="s">
        <v>31</v>
      </c>
      <c r="C45" s="15"/>
      <c r="D45" s="38"/>
      <c r="E45" s="73">
        <f>SUM(D41:D43)</f>
        <v>1021895</v>
      </c>
      <c r="F45" s="38"/>
      <c r="G45" s="35"/>
      <c r="I45" s="59">
        <v>40302</v>
      </c>
      <c r="J45" s="35" t="s">
        <v>165</v>
      </c>
      <c r="K45" s="98">
        <f>SUM(K41:K44)</f>
        <v>1532842.5</v>
      </c>
      <c r="L45" s="73"/>
      <c r="M45" s="58">
        <f>K45-L45</f>
        <v>1532842.5</v>
      </c>
      <c r="N45" s="85" t="s">
        <v>224</v>
      </c>
      <c r="O45" s="99">
        <f>E45-K45</f>
        <v>-510947.5</v>
      </c>
    </row>
    <row r="46" spans="1:15" x14ac:dyDescent="0.25">
      <c r="B46" s="20"/>
      <c r="C46" s="15"/>
      <c r="D46" s="70" t="s">
        <v>201</v>
      </c>
      <c r="E46" s="34">
        <f>E45*12%</f>
        <v>122627.4</v>
      </c>
      <c r="F46" s="38"/>
      <c r="G46" s="35"/>
      <c r="J46" s="35"/>
      <c r="K46" s="34">
        <f>K45*12%</f>
        <v>183941.1</v>
      </c>
      <c r="L46" s="34"/>
      <c r="M46" s="58">
        <f>K46-L46</f>
        <v>183941.1</v>
      </c>
    </row>
    <row r="47" spans="1:15" x14ac:dyDescent="0.25">
      <c r="B47" s="20"/>
      <c r="C47" s="15"/>
      <c r="D47" s="70" t="s">
        <v>202</v>
      </c>
      <c r="E47" s="72">
        <f>-E45*4.5%</f>
        <v>-45985.275000000001</v>
      </c>
      <c r="F47" s="38"/>
      <c r="G47" s="35"/>
      <c r="J47" s="35"/>
      <c r="K47" s="72">
        <f>-K45*4.5%</f>
        <v>-68977.912499999991</v>
      </c>
      <c r="L47" s="72"/>
      <c r="M47" s="58">
        <f>K47-L47</f>
        <v>-68977.912499999991</v>
      </c>
    </row>
    <row r="48" spans="1:15" x14ac:dyDescent="0.25">
      <c r="B48" s="20"/>
      <c r="C48" s="15"/>
      <c r="D48" s="70" t="s">
        <v>41</v>
      </c>
      <c r="E48" s="34">
        <f>SUM(E45:E47)</f>
        <v>1098537.125</v>
      </c>
      <c r="F48" s="38"/>
      <c r="G48" s="35"/>
      <c r="J48" s="35"/>
      <c r="K48" s="34">
        <f>SUM(K45:K47)</f>
        <v>1647805.6875</v>
      </c>
      <c r="L48" s="34">
        <f>SUM(L45:L47)</f>
        <v>0</v>
      </c>
      <c r="M48" s="58">
        <f>K48-L48</f>
        <v>1647805.6875</v>
      </c>
    </row>
    <row r="49" spans="1:13" x14ac:dyDescent="0.25">
      <c r="A49" s="1" t="s">
        <v>32</v>
      </c>
      <c r="B49" s="20" t="s">
        <v>33</v>
      </c>
      <c r="C49" s="16"/>
      <c r="D49" s="35"/>
      <c r="E49" s="35"/>
      <c r="F49" s="35"/>
      <c r="G49" s="35"/>
      <c r="L49" s="35"/>
      <c r="M49" s="35"/>
    </row>
    <row r="50" spans="1:13" x14ac:dyDescent="0.25">
      <c r="B50" s="13" t="s">
        <v>60</v>
      </c>
      <c r="C50" s="16">
        <v>0.02</v>
      </c>
      <c r="D50" s="32">
        <f>+$E$6*C50</f>
        <v>204379</v>
      </c>
      <c r="E50" s="35"/>
      <c r="F50" s="35"/>
      <c r="G50" s="35"/>
      <c r="H50" s="64" t="s">
        <v>172</v>
      </c>
      <c r="I50" s="59">
        <v>40302</v>
      </c>
      <c r="J50" s="35" t="s">
        <v>165</v>
      </c>
      <c r="K50" s="35">
        <f>D50</f>
        <v>204379</v>
      </c>
      <c r="L50" s="35"/>
      <c r="M50" s="35"/>
    </row>
    <row r="51" spans="1:13" ht="30" x14ac:dyDescent="0.25">
      <c r="B51" s="21" t="s">
        <v>61</v>
      </c>
      <c r="C51" s="16">
        <v>0.04</v>
      </c>
      <c r="D51" s="32">
        <f>+$E$6*C51</f>
        <v>408758</v>
      </c>
      <c r="E51" s="35"/>
      <c r="F51" s="35"/>
      <c r="G51" s="35"/>
      <c r="H51" s="64" t="s">
        <v>173</v>
      </c>
      <c r="I51" s="59">
        <v>40302</v>
      </c>
      <c r="J51" s="35" t="s">
        <v>165</v>
      </c>
      <c r="K51" s="35">
        <f>D51</f>
        <v>408758</v>
      </c>
      <c r="L51" s="35"/>
      <c r="M51" s="35"/>
    </row>
    <row r="52" spans="1:13" x14ac:dyDescent="0.25">
      <c r="B52" s="13" t="s">
        <v>62</v>
      </c>
      <c r="C52" s="16">
        <v>0.04</v>
      </c>
      <c r="D52" s="32">
        <f>+$E$6*C52</f>
        <v>408758</v>
      </c>
      <c r="E52" s="35"/>
      <c r="F52" s="35"/>
      <c r="G52" s="35"/>
      <c r="H52" s="64" t="s">
        <v>174</v>
      </c>
      <c r="I52" s="59">
        <v>40302</v>
      </c>
      <c r="J52" s="35" t="s">
        <v>165</v>
      </c>
      <c r="K52" s="35">
        <f>D52</f>
        <v>408758</v>
      </c>
      <c r="L52" s="35"/>
      <c r="M52" s="35"/>
    </row>
    <row r="53" spans="1:13" x14ac:dyDescent="0.25">
      <c r="B53" s="20" t="s">
        <v>34</v>
      </c>
      <c r="C53" s="16"/>
      <c r="D53" s="35"/>
      <c r="E53" s="73">
        <f>SUM(D50:D52)</f>
        <v>1021895</v>
      </c>
      <c r="F53" s="38"/>
      <c r="G53" s="35"/>
      <c r="I53" s="59">
        <v>40302</v>
      </c>
      <c r="J53" s="2">
        <v>40275</v>
      </c>
      <c r="K53" s="73">
        <f>SUM(K50:K52)</f>
        <v>1021895</v>
      </c>
      <c r="L53" s="73"/>
      <c r="M53" s="58">
        <f>K53-L53</f>
        <v>1021895</v>
      </c>
    </row>
    <row r="54" spans="1:13" x14ac:dyDescent="0.25">
      <c r="B54" s="20"/>
      <c r="C54" s="16"/>
      <c r="D54" s="70" t="s">
        <v>201</v>
      </c>
      <c r="E54" s="34">
        <f>E53*12%</f>
        <v>122627.4</v>
      </c>
      <c r="F54" s="38"/>
      <c r="G54" s="35"/>
      <c r="K54" s="34">
        <f>K53*12%</f>
        <v>122627.4</v>
      </c>
      <c r="L54" s="34"/>
      <c r="M54" s="58">
        <f>K54-L54</f>
        <v>122627.4</v>
      </c>
    </row>
    <row r="55" spans="1:13" x14ac:dyDescent="0.25">
      <c r="B55" s="20"/>
      <c r="C55" s="16"/>
      <c r="D55" s="70" t="s">
        <v>202</v>
      </c>
      <c r="E55" s="72">
        <f>-E53*4.5%</f>
        <v>-45985.275000000001</v>
      </c>
      <c r="F55" s="38"/>
      <c r="G55" s="35"/>
      <c r="K55" s="72">
        <f>-K53*4.5%</f>
        <v>-45985.275000000001</v>
      </c>
      <c r="L55" s="72"/>
      <c r="M55" s="58">
        <f>K55-L55</f>
        <v>-45985.275000000001</v>
      </c>
    </row>
    <row r="56" spans="1:13" x14ac:dyDescent="0.25">
      <c r="B56" s="20"/>
      <c r="C56" s="16"/>
      <c r="D56" s="70" t="s">
        <v>41</v>
      </c>
      <c r="E56" s="34">
        <f>SUM(E53:E55)</f>
        <v>1098537.125</v>
      </c>
      <c r="F56" s="38"/>
      <c r="G56" s="35"/>
      <c r="K56" s="34">
        <f>SUM(K53:K55)</f>
        <v>1098537.125</v>
      </c>
      <c r="L56" s="34"/>
      <c r="M56" s="58">
        <f>K56-L56</f>
        <v>1098537.125</v>
      </c>
    </row>
    <row r="57" spans="1:13" x14ac:dyDescent="0.25">
      <c r="A57" s="1" t="s">
        <v>35</v>
      </c>
      <c r="B57" s="20" t="s">
        <v>36</v>
      </c>
      <c r="C57" s="16"/>
      <c r="D57" s="35"/>
      <c r="E57" s="35"/>
      <c r="F57" s="35"/>
      <c r="G57" s="35"/>
      <c r="L57" s="35"/>
      <c r="M57" s="35"/>
    </row>
    <row r="58" spans="1:13" ht="30" x14ac:dyDescent="0.25">
      <c r="B58" s="21" t="s">
        <v>63</v>
      </c>
      <c r="C58" s="16">
        <v>0.04</v>
      </c>
      <c r="D58" s="32">
        <f>+$E$6*C58</f>
        <v>408758</v>
      </c>
      <c r="E58" s="35"/>
      <c r="F58" s="35"/>
      <c r="G58" s="35"/>
      <c r="H58" s="64" t="s">
        <v>178</v>
      </c>
      <c r="I58" s="59">
        <v>40302</v>
      </c>
      <c r="J58" s="35" t="s">
        <v>165</v>
      </c>
      <c r="K58" s="35">
        <f>D58</f>
        <v>408758</v>
      </c>
      <c r="L58" s="35"/>
      <c r="M58" s="35"/>
    </row>
    <row r="59" spans="1:13" x14ac:dyDescent="0.25">
      <c r="B59" s="21" t="s">
        <v>64</v>
      </c>
      <c r="C59" s="16">
        <v>0.02</v>
      </c>
      <c r="D59" s="32">
        <f>+$E$6*C59</f>
        <v>204379</v>
      </c>
      <c r="E59" s="35"/>
      <c r="F59" s="35"/>
      <c r="G59" s="35"/>
      <c r="H59" s="64" t="s">
        <v>179</v>
      </c>
      <c r="I59" s="59">
        <v>40302</v>
      </c>
      <c r="J59" s="35" t="s">
        <v>165</v>
      </c>
      <c r="K59" s="35">
        <f>D59</f>
        <v>204379</v>
      </c>
      <c r="L59" s="35"/>
      <c r="M59" s="35"/>
    </row>
    <row r="60" spans="1:13" x14ac:dyDescent="0.25">
      <c r="B60" s="21" t="s">
        <v>65</v>
      </c>
      <c r="C60" s="16">
        <v>0.02</v>
      </c>
      <c r="D60" s="32">
        <f>+$E$6*C60</f>
        <v>204379</v>
      </c>
      <c r="E60" s="35"/>
      <c r="F60" s="35"/>
      <c r="G60" s="35"/>
      <c r="H60" s="64" t="s">
        <v>180</v>
      </c>
      <c r="I60" s="59">
        <v>40302</v>
      </c>
      <c r="J60" s="35" t="s">
        <v>165</v>
      </c>
      <c r="K60" s="35">
        <f>D60</f>
        <v>204379</v>
      </c>
      <c r="L60" s="35"/>
      <c r="M60" s="35"/>
    </row>
    <row r="61" spans="1:13" x14ac:dyDescent="0.25">
      <c r="B61" s="21" t="s">
        <v>66</v>
      </c>
      <c r="C61" s="16">
        <v>0.03</v>
      </c>
      <c r="D61" s="32">
        <f>+$E$6*C61</f>
        <v>306568.5</v>
      </c>
      <c r="E61" s="35"/>
      <c r="F61" s="35"/>
      <c r="G61" s="35"/>
      <c r="H61" s="64" t="s">
        <v>181</v>
      </c>
      <c r="I61" s="59">
        <v>40302</v>
      </c>
      <c r="J61" s="35" t="s">
        <v>165</v>
      </c>
      <c r="K61" s="35">
        <f>D61</f>
        <v>306568.5</v>
      </c>
      <c r="L61" s="35"/>
      <c r="M61" s="35"/>
    </row>
    <row r="62" spans="1:13" x14ac:dyDescent="0.25">
      <c r="B62" s="21" t="s">
        <v>67</v>
      </c>
      <c r="C62" s="16">
        <v>0.04</v>
      </c>
      <c r="D62" s="32">
        <f>+$E$6*C62</f>
        <v>408758</v>
      </c>
      <c r="E62" s="35"/>
      <c r="F62" s="35"/>
      <c r="G62" s="35"/>
      <c r="H62" s="64" t="s">
        <v>182</v>
      </c>
      <c r="I62" s="59">
        <v>40302</v>
      </c>
      <c r="J62" s="35" t="s">
        <v>165</v>
      </c>
      <c r="K62" s="35">
        <f>D62</f>
        <v>408758</v>
      </c>
      <c r="L62" s="35"/>
      <c r="M62" s="35"/>
    </row>
    <row r="63" spans="1:13" x14ac:dyDescent="0.25">
      <c r="B63" s="1" t="s">
        <v>37</v>
      </c>
      <c r="C63" s="16"/>
      <c r="D63" s="35"/>
      <c r="E63" s="73">
        <f>SUM(D58:D62)</f>
        <v>1532842.5</v>
      </c>
      <c r="F63" s="38"/>
      <c r="G63" s="35"/>
      <c r="I63" s="59">
        <v>40302</v>
      </c>
      <c r="J63" s="2">
        <v>40275</v>
      </c>
      <c r="K63" s="73">
        <f>SUM(K58:K62)</f>
        <v>1532842.5</v>
      </c>
      <c r="L63" s="73"/>
      <c r="M63" s="58">
        <f>K63-L63</f>
        <v>1532842.5</v>
      </c>
    </row>
    <row r="64" spans="1:13" x14ac:dyDescent="0.25">
      <c r="B64" s="1"/>
      <c r="C64" s="16"/>
      <c r="D64" s="70" t="s">
        <v>201</v>
      </c>
      <c r="E64" s="34">
        <f>E63*12%</f>
        <v>183941.1</v>
      </c>
      <c r="F64" s="38"/>
      <c r="G64" s="35"/>
      <c r="K64" s="34">
        <f>K63*12%</f>
        <v>183941.1</v>
      </c>
      <c r="L64" s="34"/>
      <c r="M64" s="58">
        <f>K64-L64</f>
        <v>183941.1</v>
      </c>
    </row>
    <row r="65" spans="1:13" x14ac:dyDescent="0.25">
      <c r="B65" s="1"/>
      <c r="C65" s="16"/>
      <c r="D65" s="70" t="s">
        <v>202</v>
      </c>
      <c r="E65" s="72">
        <f>-E63*4.5%</f>
        <v>-68977.912499999991</v>
      </c>
      <c r="F65" s="38"/>
      <c r="G65" s="35"/>
      <c r="K65" s="72">
        <f>-K63*4.5%</f>
        <v>-68977.912499999991</v>
      </c>
      <c r="L65" s="72"/>
      <c r="M65" s="58">
        <f>K65-L65</f>
        <v>-68977.912499999991</v>
      </c>
    </row>
    <row r="66" spans="1:13" x14ac:dyDescent="0.25">
      <c r="B66" s="1"/>
      <c r="C66" s="16"/>
      <c r="D66" s="70" t="s">
        <v>41</v>
      </c>
      <c r="E66" s="34">
        <f>SUM(E63:E65)</f>
        <v>1647805.6875</v>
      </c>
      <c r="F66" s="38"/>
      <c r="G66" s="35"/>
      <c r="K66" s="34">
        <f>SUM(K63:K65)</f>
        <v>1647805.6875</v>
      </c>
      <c r="L66" s="34"/>
      <c r="M66" s="58">
        <f>K66-L66</f>
        <v>1647805.6875</v>
      </c>
    </row>
    <row r="67" spans="1:13" x14ac:dyDescent="0.25">
      <c r="A67" s="1" t="s">
        <v>38</v>
      </c>
      <c r="B67" s="1" t="s">
        <v>39</v>
      </c>
      <c r="C67" s="16"/>
      <c r="D67" s="35"/>
      <c r="E67" s="35"/>
      <c r="F67" s="35"/>
      <c r="G67" s="35"/>
      <c r="L67" s="35"/>
      <c r="M67" s="35"/>
    </row>
    <row r="68" spans="1:13" ht="30" x14ac:dyDescent="0.25">
      <c r="B68" s="21" t="s">
        <v>68</v>
      </c>
      <c r="C68" s="16">
        <v>0.03</v>
      </c>
      <c r="D68" s="32">
        <f>+$E$6*C68</f>
        <v>306568.5</v>
      </c>
      <c r="E68" s="35"/>
      <c r="F68" s="35"/>
      <c r="G68" s="35"/>
      <c r="H68" s="64" t="s">
        <v>188</v>
      </c>
      <c r="I68" s="59">
        <v>40302</v>
      </c>
      <c r="J68" s="35" t="s">
        <v>165</v>
      </c>
      <c r="K68" s="35">
        <f>D68</f>
        <v>306568.5</v>
      </c>
      <c r="L68" s="35"/>
      <c r="M68" s="35"/>
    </row>
    <row r="69" spans="1:13" ht="45" x14ac:dyDescent="0.25">
      <c r="B69" s="21" t="s">
        <v>69</v>
      </c>
      <c r="C69" s="16">
        <v>0.01</v>
      </c>
      <c r="D69" s="32">
        <f>+$E$6*C69</f>
        <v>102189.5</v>
      </c>
      <c r="E69" s="35"/>
      <c r="F69" s="35"/>
      <c r="G69" s="35"/>
      <c r="H69" s="64" t="s">
        <v>189</v>
      </c>
      <c r="I69" s="59">
        <v>40302</v>
      </c>
      <c r="J69" s="35" t="s">
        <v>165</v>
      </c>
      <c r="K69" s="35">
        <f>D69</f>
        <v>102189.5</v>
      </c>
      <c r="L69" s="35"/>
      <c r="M69" s="35"/>
    </row>
    <row r="70" spans="1:13" ht="45" x14ac:dyDescent="0.25">
      <c r="B70" s="21" t="s">
        <v>70</v>
      </c>
      <c r="C70" s="16">
        <v>0.01</v>
      </c>
      <c r="D70" s="32">
        <f>+$E$6*C70</f>
        <v>102189.5</v>
      </c>
      <c r="E70" s="35"/>
      <c r="F70" s="35"/>
      <c r="G70" s="35"/>
      <c r="H70" s="64" t="s">
        <v>190</v>
      </c>
      <c r="I70" s="59">
        <v>40302</v>
      </c>
      <c r="J70" s="35" t="s">
        <v>165</v>
      </c>
      <c r="K70" s="35">
        <f>D70</f>
        <v>102189.5</v>
      </c>
      <c r="L70" s="35"/>
      <c r="M70" s="35"/>
    </row>
    <row r="71" spans="1:13" x14ac:dyDescent="0.25">
      <c r="B71" s="1" t="s">
        <v>40</v>
      </c>
      <c r="D71" s="35"/>
      <c r="E71" s="73">
        <f>SUM(D68:D70)</f>
        <v>510947.5</v>
      </c>
      <c r="F71" s="38"/>
      <c r="G71" s="35"/>
      <c r="I71" s="59">
        <v>40302</v>
      </c>
      <c r="J71" s="2">
        <v>40275</v>
      </c>
      <c r="K71" s="73">
        <f>SUM(K68:K70)</f>
        <v>510947.5</v>
      </c>
      <c r="L71" s="73"/>
      <c r="M71" s="58">
        <f t="shared" ref="M71:M79" si="2">K71-L71</f>
        <v>510947.5</v>
      </c>
    </row>
    <row r="72" spans="1:13" x14ac:dyDescent="0.25">
      <c r="B72" s="1"/>
      <c r="D72" s="70" t="s">
        <v>201</v>
      </c>
      <c r="E72" s="34">
        <f>E71*12%</f>
        <v>61313.7</v>
      </c>
      <c r="F72" s="38"/>
      <c r="G72" s="35"/>
      <c r="K72" s="34">
        <f>K71*12%</f>
        <v>61313.7</v>
      </c>
      <c r="L72" s="34"/>
      <c r="M72" s="58">
        <f t="shared" si="2"/>
        <v>61313.7</v>
      </c>
    </row>
    <row r="73" spans="1:13" x14ac:dyDescent="0.25">
      <c r="B73" s="1"/>
      <c r="D73" s="70" t="s">
        <v>202</v>
      </c>
      <c r="E73" s="72">
        <f>-E71*4.5%</f>
        <v>-22992.637500000001</v>
      </c>
      <c r="F73" s="38"/>
      <c r="G73" s="35"/>
      <c r="K73" s="72">
        <f>-K71*4.5%</f>
        <v>-22992.637500000001</v>
      </c>
      <c r="L73" s="72"/>
      <c r="M73" s="58">
        <f t="shared" si="2"/>
        <v>-22992.637500000001</v>
      </c>
    </row>
    <row r="74" spans="1:13" x14ac:dyDescent="0.25">
      <c r="B74" s="1"/>
      <c r="D74" s="70" t="s">
        <v>41</v>
      </c>
      <c r="E74" s="34">
        <f>SUM(E71:E73)</f>
        <v>549268.5625</v>
      </c>
      <c r="F74" s="38"/>
      <c r="G74" s="35"/>
      <c r="K74" s="34">
        <f>SUM(K71:K73)</f>
        <v>549268.5625</v>
      </c>
      <c r="L74" s="34"/>
      <c r="M74" s="58">
        <f t="shared" si="2"/>
        <v>549268.5625</v>
      </c>
    </row>
    <row r="75" spans="1:13" x14ac:dyDescent="0.25">
      <c r="B75" s="1"/>
      <c r="D75" s="70"/>
      <c r="E75" s="70"/>
      <c r="F75" s="38"/>
      <c r="G75" s="35"/>
      <c r="L75" s="70"/>
      <c r="M75" s="35"/>
    </row>
    <row r="76" spans="1:13" x14ac:dyDescent="0.25">
      <c r="B76" s="74" t="s">
        <v>203</v>
      </c>
      <c r="C76" s="75">
        <f>SUM(C8:C70)</f>
        <v>1.0000000000000004</v>
      </c>
      <c r="D76" s="69"/>
      <c r="E76" s="76">
        <f>SUM(E8,E20,E28,E36,E45,E53,E63,E71)</f>
        <v>10218950</v>
      </c>
      <c r="G76" s="35"/>
      <c r="K76" s="76">
        <f t="shared" ref="K76:L78" si="3">SUM(K8,K20,K28,K36,K45,K53,K63,K71)</f>
        <v>10218950</v>
      </c>
      <c r="L76" s="76">
        <f t="shared" si="3"/>
        <v>5620422.5</v>
      </c>
      <c r="M76" s="58">
        <f t="shared" si="2"/>
        <v>4598527.5</v>
      </c>
    </row>
    <row r="77" spans="1:13" x14ac:dyDescent="0.25">
      <c r="B77" s="80" t="s">
        <v>201</v>
      </c>
      <c r="C77" s="77"/>
      <c r="D77" s="77"/>
      <c r="E77" s="78">
        <f>SUM(E9,E21,E29,E37,E46,E54,E64,E72)</f>
        <v>1226274</v>
      </c>
      <c r="K77" s="78">
        <f t="shared" si="3"/>
        <v>1226274</v>
      </c>
      <c r="L77" s="78">
        <f t="shared" si="3"/>
        <v>674450.70000000007</v>
      </c>
      <c r="M77" s="58">
        <f t="shared" si="2"/>
        <v>551823.29999999993</v>
      </c>
    </row>
    <row r="78" spans="1:13" x14ac:dyDescent="0.25">
      <c r="B78" s="80" t="s">
        <v>202</v>
      </c>
      <c r="C78" s="77"/>
      <c r="D78" s="77"/>
      <c r="E78" s="79">
        <f>SUM(E10,E22,E30,E38,E47,E55,E65,E73)</f>
        <v>-459852.75</v>
      </c>
      <c r="K78" s="79">
        <f t="shared" si="3"/>
        <v>-459852.75</v>
      </c>
      <c r="L78" s="79">
        <f t="shared" si="3"/>
        <v>-252919.01750000002</v>
      </c>
      <c r="M78" s="58">
        <f t="shared" si="2"/>
        <v>-206933.73249999998</v>
      </c>
    </row>
    <row r="79" spans="1:13" x14ac:dyDescent="0.25">
      <c r="B79" s="74" t="s">
        <v>41</v>
      </c>
      <c r="C79" s="77"/>
      <c r="D79" s="77"/>
      <c r="E79" s="78">
        <f>SUM(E76:E78)</f>
        <v>10985371.25</v>
      </c>
      <c r="K79" s="78">
        <f>SUM(K76:K78)</f>
        <v>10985371.25</v>
      </c>
      <c r="L79" s="78">
        <f>SUM(L76:L78)</f>
        <v>6041954.1825000001</v>
      </c>
      <c r="M79" s="58">
        <f t="shared" si="2"/>
        <v>4943417.0674999999</v>
      </c>
    </row>
    <row r="81" spans="8:13" x14ac:dyDescent="0.25">
      <c r="M81" s="58"/>
    </row>
    <row r="83" spans="8:13" x14ac:dyDescent="0.25">
      <c r="H83" s="63"/>
      <c r="I83" s="91"/>
    </row>
    <row r="84" spans="8:13" x14ac:dyDescent="0.25">
      <c r="H84" s="63"/>
      <c r="I84" s="91"/>
      <c r="L84" s="35"/>
    </row>
  </sheetData>
  <phoneticPr fontId="7" type="noConversion"/>
  <pageMargins left="0.7" right="0.7" top="0.75" bottom="0.75" header="0.3" footer="0.3"/>
  <pageSetup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83"/>
  <sheetViews>
    <sheetView topLeftCell="C1" zoomScaleNormal="100" workbookViewId="0">
      <pane ySplit="7" topLeftCell="A8" activePane="bottomLeft" state="frozenSplit"/>
      <selection pane="bottomLeft" activeCell="J36" sqref="J36"/>
    </sheetView>
  </sheetViews>
  <sheetFormatPr defaultRowHeight="15" x14ac:dyDescent="0.25"/>
  <cols>
    <col min="1" max="1" width="12" customWidth="1"/>
    <col min="2" max="2" width="38.28515625" customWidth="1"/>
    <col min="3" max="3" width="7.140625" bestFit="1" customWidth="1"/>
    <col min="4" max="4" width="17.28515625" customWidth="1"/>
    <col min="5" max="5" width="16.140625" bestFit="1" customWidth="1"/>
    <col min="6" max="6" width="6" customWidth="1"/>
    <col min="7" max="7" width="6" hidden="1" customWidth="1"/>
    <col min="8" max="8" width="10.28515625" style="60" bestFit="1" customWidth="1"/>
    <col min="9" max="9" width="15.85546875" style="2" bestFit="1" customWidth="1"/>
    <col min="10" max="11" width="18.5703125" customWidth="1"/>
    <col min="12" max="12" width="22" bestFit="1" customWidth="1"/>
    <col min="13" max="13" width="16.140625" bestFit="1" customWidth="1"/>
    <col min="14" max="14" width="30.5703125" style="21" customWidth="1"/>
    <col min="15" max="15" width="15.140625" bestFit="1" customWidth="1"/>
    <col min="16" max="16" width="12.42578125" bestFit="1" customWidth="1"/>
  </cols>
  <sheetData>
    <row r="1" spans="1:14" x14ac:dyDescent="0.25">
      <c r="A1" s="1" t="s">
        <v>0</v>
      </c>
      <c r="B1" s="1"/>
      <c r="C1" t="s">
        <v>5</v>
      </c>
    </row>
    <row r="2" spans="1:14" x14ac:dyDescent="0.25">
      <c r="A2" s="1" t="s">
        <v>1</v>
      </c>
      <c r="B2" s="1" t="s">
        <v>2</v>
      </c>
      <c r="C2" t="s">
        <v>6</v>
      </c>
    </row>
    <row r="3" spans="1:14" x14ac:dyDescent="0.25">
      <c r="C3" t="s">
        <v>7</v>
      </c>
    </row>
    <row r="4" spans="1:14" x14ac:dyDescent="0.25">
      <c r="A4" t="s">
        <v>3</v>
      </c>
      <c r="B4" t="s">
        <v>4</v>
      </c>
      <c r="C4" t="s">
        <v>8</v>
      </c>
    </row>
    <row r="5" spans="1:14" ht="15.75" thickBot="1" x14ac:dyDescent="0.3"/>
    <row r="6" spans="1:14" x14ac:dyDescent="0.25">
      <c r="A6" s="4"/>
      <c r="B6" s="6" t="s">
        <v>12</v>
      </c>
      <c r="C6" s="22" t="s">
        <v>13</v>
      </c>
      <c r="D6" s="23" t="s">
        <v>42</v>
      </c>
      <c r="E6" s="24">
        <v>11268150</v>
      </c>
      <c r="F6" s="25"/>
      <c r="G6" s="25"/>
      <c r="H6" s="61"/>
      <c r="I6" s="8" t="s">
        <v>10</v>
      </c>
      <c r="J6" s="26"/>
      <c r="K6" s="97" t="s">
        <v>222</v>
      </c>
      <c r="L6" s="23" t="s">
        <v>11</v>
      </c>
      <c r="M6" s="82" t="s">
        <v>204</v>
      </c>
      <c r="N6" s="83" t="s">
        <v>205</v>
      </c>
    </row>
    <row r="7" spans="1:14" ht="15.75" thickBot="1" x14ac:dyDescent="0.3">
      <c r="A7" s="9" t="s">
        <v>43</v>
      </c>
      <c r="B7" s="27" t="s">
        <v>18</v>
      </c>
      <c r="C7" s="28"/>
      <c r="D7" s="29" t="s">
        <v>14</v>
      </c>
      <c r="E7" s="29" t="s">
        <v>15</v>
      </c>
      <c r="F7" s="30"/>
      <c r="G7" s="30"/>
      <c r="H7" s="62" t="s">
        <v>16</v>
      </c>
      <c r="I7" s="12" t="s">
        <v>17</v>
      </c>
      <c r="J7" s="31" t="s">
        <v>133</v>
      </c>
      <c r="K7" s="93"/>
      <c r="L7" s="10" t="s">
        <v>14</v>
      </c>
      <c r="M7" s="9"/>
      <c r="N7" s="84"/>
    </row>
    <row r="8" spans="1:14" x14ac:dyDescent="0.25">
      <c r="A8" s="1" t="s">
        <v>19</v>
      </c>
      <c r="B8" s="15"/>
      <c r="C8" s="16">
        <v>0.1</v>
      </c>
      <c r="D8" s="32">
        <f>+$E$6*C8</f>
        <v>1126815</v>
      </c>
      <c r="E8" s="33">
        <f>+D8</f>
        <v>1126815</v>
      </c>
      <c r="F8" s="34"/>
      <c r="G8" s="34"/>
      <c r="H8" s="60">
        <v>42</v>
      </c>
      <c r="I8" s="2">
        <v>40015</v>
      </c>
      <c r="J8" s="2" t="s">
        <v>134</v>
      </c>
      <c r="K8" s="33">
        <v>1126815</v>
      </c>
      <c r="L8" s="33">
        <f>E8</f>
        <v>1126815</v>
      </c>
      <c r="M8" s="58">
        <f>K8-L8</f>
        <v>0</v>
      </c>
    </row>
    <row r="9" spans="1:14" x14ac:dyDescent="0.25">
      <c r="A9" s="1"/>
      <c r="B9" s="15"/>
      <c r="C9" s="16"/>
      <c r="D9" s="70" t="s">
        <v>201</v>
      </c>
      <c r="E9" s="34">
        <f>E8*12%</f>
        <v>135217.79999999999</v>
      </c>
      <c r="F9" s="34"/>
      <c r="G9" s="34"/>
      <c r="J9" s="2"/>
      <c r="K9" s="34">
        <f>K8*12%</f>
        <v>135217.79999999999</v>
      </c>
      <c r="L9" s="34">
        <f>E9</f>
        <v>135217.79999999999</v>
      </c>
      <c r="M9" s="58">
        <f>K9-L9</f>
        <v>0</v>
      </c>
    </row>
    <row r="10" spans="1:14" x14ac:dyDescent="0.25">
      <c r="A10" s="1"/>
      <c r="B10" s="15"/>
      <c r="C10" s="16"/>
      <c r="D10" s="70" t="s">
        <v>202</v>
      </c>
      <c r="E10" s="72">
        <f>-E8*4.5%</f>
        <v>-50706.674999999996</v>
      </c>
      <c r="F10" s="34"/>
      <c r="G10" s="34"/>
      <c r="J10" s="2"/>
      <c r="K10" s="72">
        <f>-K8*4.5%</f>
        <v>-50706.674999999996</v>
      </c>
      <c r="L10" s="72"/>
      <c r="M10" s="58">
        <f>K10-L10</f>
        <v>-50706.674999999996</v>
      </c>
      <c r="N10" s="21" t="s">
        <v>212</v>
      </c>
    </row>
    <row r="11" spans="1:14" x14ac:dyDescent="0.25">
      <c r="A11" s="1"/>
      <c r="B11" s="15"/>
      <c r="C11" s="16"/>
      <c r="D11" s="70" t="s">
        <v>41</v>
      </c>
      <c r="E11" s="34">
        <f>SUM(E8:E10)</f>
        <v>1211326.125</v>
      </c>
      <c r="F11" s="34"/>
      <c r="G11" s="34"/>
      <c r="J11" s="2"/>
      <c r="K11" s="34">
        <f>SUM(K8:K10)</f>
        <v>1211326.125</v>
      </c>
      <c r="L11" s="34">
        <f>SUM(L8:L10)</f>
        <v>1262032.8</v>
      </c>
      <c r="M11" s="58">
        <f>K11-L11</f>
        <v>-50706.675000000047</v>
      </c>
    </row>
    <row r="12" spans="1:14" x14ac:dyDescent="0.25">
      <c r="A12" s="1" t="s">
        <v>20</v>
      </c>
      <c r="B12" s="15" t="s">
        <v>21</v>
      </c>
      <c r="C12" s="16"/>
      <c r="D12" s="32"/>
      <c r="E12" s="36"/>
      <c r="F12" s="36"/>
      <c r="G12" s="36"/>
      <c r="J12" s="35"/>
      <c r="K12" s="35"/>
      <c r="L12" s="48"/>
    </row>
    <row r="13" spans="1:14" x14ac:dyDescent="0.25">
      <c r="B13" t="s">
        <v>44</v>
      </c>
      <c r="C13" s="16">
        <v>0.05</v>
      </c>
      <c r="D13" s="32">
        <f t="shared" ref="D13:D19" si="0">+$E$6*C13</f>
        <v>563407.5</v>
      </c>
      <c r="E13" s="36"/>
      <c r="F13" s="36"/>
      <c r="G13" s="36"/>
      <c r="H13" s="64" t="s">
        <v>135</v>
      </c>
      <c r="I13" s="2" t="s">
        <v>151</v>
      </c>
      <c r="J13" s="59">
        <v>40111</v>
      </c>
      <c r="K13" s="100">
        <f>D13</f>
        <v>563407.5</v>
      </c>
      <c r="L13" s="36"/>
      <c r="N13" s="85"/>
    </row>
    <row r="14" spans="1:14" x14ac:dyDescent="0.25">
      <c r="B14" t="s">
        <v>45</v>
      </c>
      <c r="C14" s="16">
        <v>0.05</v>
      </c>
      <c r="D14" s="32">
        <f t="shared" si="0"/>
        <v>563407.5</v>
      </c>
      <c r="E14" s="36"/>
      <c r="F14" s="36"/>
      <c r="G14" s="36"/>
      <c r="H14" s="64" t="s">
        <v>137</v>
      </c>
      <c r="I14" s="2" t="s">
        <v>151</v>
      </c>
      <c r="J14" s="59">
        <v>40111</v>
      </c>
      <c r="K14" s="100">
        <f t="shared" ref="K14:K19" si="1">D14</f>
        <v>563407.5</v>
      </c>
      <c r="L14" s="36"/>
      <c r="N14" s="85"/>
    </row>
    <row r="15" spans="1:14" x14ac:dyDescent="0.25">
      <c r="B15" t="s">
        <v>46</v>
      </c>
      <c r="C15" s="16">
        <v>0.03</v>
      </c>
      <c r="D15" s="32">
        <f t="shared" si="0"/>
        <v>338044.5</v>
      </c>
      <c r="E15" s="36"/>
      <c r="F15" s="36"/>
      <c r="G15" s="36"/>
      <c r="H15" s="64" t="s">
        <v>139</v>
      </c>
      <c r="I15" s="2" t="s">
        <v>151</v>
      </c>
      <c r="J15" s="59">
        <v>40111</v>
      </c>
      <c r="K15" s="100">
        <f t="shared" si="1"/>
        <v>338044.5</v>
      </c>
      <c r="L15" s="36"/>
      <c r="N15" s="85"/>
    </row>
    <row r="16" spans="1:14" x14ac:dyDescent="0.25">
      <c r="B16" t="s">
        <v>47</v>
      </c>
      <c r="C16" s="16">
        <v>0.02</v>
      </c>
      <c r="D16" s="32">
        <f t="shared" si="0"/>
        <v>225363</v>
      </c>
      <c r="E16" s="36"/>
      <c r="F16" s="36"/>
      <c r="G16" s="36"/>
      <c r="H16" s="64" t="s">
        <v>141</v>
      </c>
      <c r="I16" s="2" t="s">
        <v>151</v>
      </c>
      <c r="J16" s="59">
        <v>40111</v>
      </c>
      <c r="K16" s="100">
        <f t="shared" si="1"/>
        <v>225363</v>
      </c>
      <c r="L16" s="36"/>
      <c r="N16" s="85"/>
    </row>
    <row r="17" spans="1:15" x14ac:dyDescent="0.25">
      <c r="B17" t="s">
        <v>48</v>
      </c>
      <c r="C17" s="16">
        <v>0.02</v>
      </c>
      <c r="D17" s="32">
        <f t="shared" si="0"/>
        <v>225363</v>
      </c>
      <c r="E17" s="36"/>
      <c r="F17" s="36"/>
      <c r="G17" s="36"/>
      <c r="H17" s="64" t="s">
        <v>143</v>
      </c>
      <c r="I17" s="2" t="s">
        <v>151</v>
      </c>
      <c r="J17" s="59">
        <v>40111</v>
      </c>
      <c r="K17" s="100">
        <f t="shared" si="1"/>
        <v>225363</v>
      </c>
      <c r="L17" s="36"/>
      <c r="N17" s="85"/>
    </row>
    <row r="18" spans="1:15" ht="30" x14ac:dyDescent="0.25">
      <c r="B18" s="21" t="s">
        <v>49</v>
      </c>
      <c r="C18" s="16">
        <v>0.03</v>
      </c>
      <c r="D18" s="32">
        <f t="shared" si="0"/>
        <v>338044.5</v>
      </c>
      <c r="E18" s="36"/>
      <c r="F18" s="36"/>
      <c r="G18" s="36"/>
      <c r="H18" s="64" t="s">
        <v>145</v>
      </c>
      <c r="I18" s="2" t="s">
        <v>151</v>
      </c>
      <c r="J18" s="59">
        <v>40111</v>
      </c>
      <c r="K18" s="100">
        <f t="shared" si="1"/>
        <v>338044.5</v>
      </c>
      <c r="L18" s="36"/>
      <c r="N18" s="85"/>
    </row>
    <row r="19" spans="1:15" ht="30" x14ac:dyDescent="0.25">
      <c r="B19" s="21" t="s">
        <v>50</v>
      </c>
      <c r="C19" s="16">
        <v>0.05</v>
      </c>
      <c r="D19" s="32">
        <f t="shared" si="0"/>
        <v>563407.5</v>
      </c>
      <c r="E19" s="36"/>
      <c r="F19" s="36"/>
      <c r="G19" s="36"/>
      <c r="H19" s="64" t="s">
        <v>147</v>
      </c>
      <c r="I19" s="2" t="s">
        <v>151</v>
      </c>
      <c r="J19" s="59">
        <v>40111</v>
      </c>
      <c r="K19" s="100">
        <f t="shared" si="1"/>
        <v>563407.5</v>
      </c>
      <c r="L19" s="36"/>
      <c r="N19" s="85"/>
    </row>
    <row r="20" spans="1:15" x14ac:dyDescent="0.25">
      <c r="B20" s="1" t="s">
        <v>22</v>
      </c>
      <c r="C20" s="16"/>
      <c r="D20" s="70" t="s">
        <v>201</v>
      </c>
      <c r="E20" s="33">
        <f>SUM(D13:D19)</f>
        <v>2817037.5</v>
      </c>
      <c r="F20" s="34"/>
      <c r="G20" s="34"/>
      <c r="I20" s="2" t="s">
        <v>151</v>
      </c>
      <c r="J20" s="59">
        <v>40111</v>
      </c>
      <c r="K20" s="33">
        <f>SUM(K13:K19)</f>
        <v>2817037.5</v>
      </c>
      <c r="L20" s="33">
        <f>E20</f>
        <v>2817037.5</v>
      </c>
      <c r="M20" s="58">
        <f>K20-L20</f>
        <v>0</v>
      </c>
      <c r="N20" s="86"/>
    </row>
    <row r="21" spans="1:15" x14ac:dyDescent="0.25">
      <c r="B21" s="1"/>
      <c r="C21" s="16"/>
      <c r="D21" s="70" t="s">
        <v>202</v>
      </c>
      <c r="E21" s="34">
        <f>E20*12%</f>
        <v>338044.5</v>
      </c>
      <c r="F21" s="34"/>
      <c r="G21" s="34"/>
      <c r="J21" s="35"/>
      <c r="K21" s="34">
        <f>K20*12%</f>
        <v>338044.5</v>
      </c>
      <c r="L21" s="34">
        <f>L20*12%</f>
        <v>338044.5</v>
      </c>
      <c r="M21" s="58">
        <f>K21-L21</f>
        <v>0</v>
      </c>
      <c r="N21" s="86"/>
    </row>
    <row r="22" spans="1:15" ht="30" x14ac:dyDescent="0.25">
      <c r="B22" s="1"/>
      <c r="C22" s="16"/>
      <c r="D22" s="70" t="s">
        <v>41</v>
      </c>
      <c r="E22" s="72">
        <f>-E20*4.5%</f>
        <v>-126766.6875</v>
      </c>
      <c r="F22" s="34"/>
      <c r="G22" s="34"/>
      <c r="J22" s="35"/>
      <c r="K22" s="72">
        <f>-K20*4.5%</f>
        <v>-126766.6875</v>
      </c>
      <c r="L22" s="72">
        <f>-L20*4.5%-50706.68</f>
        <v>-177473.36749999999</v>
      </c>
      <c r="M22" s="58">
        <f>K22-L22</f>
        <v>50706.679999999993</v>
      </c>
      <c r="N22" s="86" t="s">
        <v>213</v>
      </c>
    </row>
    <row r="23" spans="1:15" x14ac:dyDescent="0.25">
      <c r="B23" s="1"/>
      <c r="C23" s="16"/>
      <c r="D23" s="32"/>
      <c r="E23" s="34">
        <f>SUM(E20:E22)</f>
        <v>3028315.3125</v>
      </c>
      <c r="F23" s="34"/>
      <c r="G23" s="34"/>
      <c r="J23" s="35"/>
      <c r="K23" s="34">
        <f>SUM(K20:K22)</f>
        <v>3028315.3125</v>
      </c>
      <c r="L23" s="34">
        <f>SUM(L20:L22)</f>
        <v>2977608.6324999998</v>
      </c>
      <c r="M23" s="58">
        <f>K23-L23</f>
        <v>50706.680000000168</v>
      </c>
      <c r="N23" s="86"/>
    </row>
    <row r="24" spans="1:15" x14ac:dyDescent="0.25">
      <c r="A24" s="1" t="s">
        <v>23</v>
      </c>
      <c r="B24" s="15" t="s">
        <v>24</v>
      </c>
      <c r="C24" s="15"/>
      <c r="D24" s="37"/>
      <c r="E24" s="34"/>
      <c r="F24" s="34"/>
      <c r="G24" s="34"/>
      <c r="J24" s="35"/>
      <c r="K24" s="35"/>
      <c r="L24" s="34"/>
      <c r="N24" s="85"/>
    </row>
    <row r="25" spans="1:15" x14ac:dyDescent="0.25">
      <c r="A25" s="1"/>
      <c r="B25" s="16" t="s">
        <v>51</v>
      </c>
      <c r="C25" s="16">
        <v>0.06</v>
      </c>
      <c r="D25" s="32">
        <f>+$E$6*C25</f>
        <v>676089</v>
      </c>
      <c r="E25" s="34"/>
      <c r="F25" s="34"/>
      <c r="G25" s="34"/>
      <c r="H25" s="64" t="s">
        <v>150</v>
      </c>
      <c r="I25" s="2" t="s">
        <v>151</v>
      </c>
      <c r="J25" s="59">
        <v>40217</v>
      </c>
      <c r="K25" s="34">
        <f>169022.25+169022.25</f>
        <v>338044.5</v>
      </c>
      <c r="L25" s="34"/>
      <c r="N25" s="85"/>
    </row>
    <row r="26" spans="1:15" x14ac:dyDescent="0.25">
      <c r="A26" s="1"/>
      <c r="B26" s="16" t="s">
        <v>52</v>
      </c>
      <c r="C26" s="16">
        <v>0.02</v>
      </c>
      <c r="D26" s="32">
        <f>+$E$6*C26</f>
        <v>225363</v>
      </c>
      <c r="E26" s="34"/>
      <c r="F26" s="34"/>
      <c r="G26" s="34"/>
      <c r="H26" s="64" t="s">
        <v>153</v>
      </c>
      <c r="I26" s="2" t="s">
        <v>151</v>
      </c>
      <c r="J26" s="59">
        <v>40217</v>
      </c>
      <c r="K26" s="34">
        <f>56340.75*2</f>
        <v>112681.5</v>
      </c>
      <c r="L26" s="34"/>
      <c r="N26" s="85"/>
    </row>
    <row r="27" spans="1:15" x14ac:dyDescent="0.25">
      <c r="A27" s="1"/>
      <c r="B27" s="16" t="s">
        <v>53</v>
      </c>
      <c r="C27" s="16">
        <v>0.02</v>
      </c>
      <c r="D27" s="32">
        <f>+$E$6*C27</f>
        <v>225363</v>
      </c>
      <c r="E27" s="34"/>
      <c r="F27" s="34"/>
      <c r="G27" s="34"/>
      <c r="H27" s="64" t="s">
        <v>155</v>
      </c>
      <c r="I27" s="2" t="s">
        <v>151</v>
      </c>
      <c r="J27" s="59">
        <v>40217</v>
      </c>
      <c r="K27" s="34">
        <f>56340.75*2</f>
        <v>112681.5</v>
      </c>
      <c r="L27" s="34"/>
      <c r="N27" s="85"/>
    </row>
    <row r="28" spans="1:15" ht="30" x14ac:dyDescent="0.25">
      <c r="A28" s="1"/>
      <c r="B28" s="15" t="s">
        <v>25</v>
      </c>
      <c r="C28" s="16"/>
      <c r="D28" s="70" t="s">
        <v>201</v>
      </c>
      <c r="E28" s="33">
        <f>SUM(D25:D27)</f>
        <v>1126815</v>
      </c>
      <c r="F28" s="34"/>
      <c r="G28" s="34"/>
      <c r="I28" s="2" t="s">
        <v>151</v>
      </c>
      <c r="J28" s="59">
        <v>40217</v>
      </c>
      <c r="K28" s="33">
        <f>SUM(K25:K27)</f>
        <v>563407.5</v>
      </c>
      <c r="L28" s="33">
        <v>563407.5</v>
      </c>
      <c r="M28" s="58">
        <f>K28-L28</f>
        <v>0</v>
      </c>
      <c r="N28" s="85" t="s">
        <v>214</v>
      </c>
      <c r="O28" s="99">
        <f>E28-K28</f>
        <v>563407.5</v>
      </c>
    </row>
    <row r="29" spans="1:15" x14ac:dyDescent="0.25">
      <c r="A29" s="1"/>
      <c r="B29" s="15"/>
      <c r="C29" s="16"/>
      <c r="D29" s="70" t="s">
        <v>202</v>
      </c>
      <c r="E29" s="34">
        <f>E28*12%</f>
        <v>135217.79999999999</v>
      </c>
      <c r="F29" s="34"/>
      <c r="G29" s="34"/>
      <c r="J29" s="35"/>
      <c r="K29" s="34">
        <f>K28*12%</f>
        <v>67608.899999999994</v>
      </c>
      <c r="L29" s="34">
        <f>L28*12%</f>
        <v>67608.899999999994</v>
      </c>
      <c r="M29" s="58">
        <f>K29-L29</f>
        <v>0</v>
      </c>
    </row>
    <row r="30" spans="1:15" x14ac:dyDescent="0.25">
      <c r="A30" s="1"/>
      <c r="B30" s="15"/>
      <c r="C30" s="16"/>
      <c r="D30" s="70" t="s">
        <v>41</v>
      </c>
      <c r="E30" s="72">
        <f>-E28*4.5%</f>
        <v>-50706.674999999996</v>
      </c>
      <c r="F30" s="34"/>
      <c r="G30" s="34"/>
      <c r="J30" s="35"/>
      <c r="K30" s="72">
        <f>-K28*4.5%</f>
        <v>-25353.337499999998</v>
      </c>
      <c r="L30" s="72">
        <f>-L28*4.5%</f>
        <v>-25353.337499999998</v>
      </c>
      <c r="M30" s="58">
        <f>K30-L30</f>
        <v>0</v>
      </c>
      <c r="N30" s="87"/>
    </row>
    <row r="31" spans="1:15" x14ac:dyDescent="0.25">
      <c r="A31" s="1"/>
      <c r="B31" s="15"/>
      <c r="C31" s="16"/>
      <c r="D31" s="32"/>
      <c r="E31" s="34">
        <f>SUM(E28:E30)</f>
        <v>1211326.125</v>
      </c>
      <c r="F31" s="34"/>
      <c r="G31" s="34"/>
      <c r="J31" s="35"/>
      <c r="K31" s="34">
        <f>SUM(K28:K30)</f>
        <v>605663.0625</v>
      </c>
      <c r="L31" s="34">
        <f>SUM(L28:L30)</f>
        <v>605663.0625</v>
      </c>
      <c r="M31" s="58">
        <f>K31-L31</f>
        <v>0</v>
      </c>
      <c r="N31" s="87"/>
    </row>
    <row r="32" spans="1:15" x14ac:dyDescent="0.25">
      <c r="A32" s="1" t="s">
        <v>26</v>
      </c>
      <c r="B32" s="15" t="s">
        <v>27</v>
      </c>
      <c r="C32" s="16"/>
      <c r="D32" s="32"/>
      <c r="E32" s="35"/>
      <c r="F32" s="35"/>
      <c r="G32" s="35"/>
      <c r="J32" s="35"/>
      <c r="K32" s="35"/>
      <c r="L32" s="35"/>
    </row>
    <row r="33" spans="1:16" x14ac:dyDescent="0.25">
      <c r="B33" s="16" t="s">
        <v>54</v>
      </c>
      <c r="C33" s="16">
        <v>0.1</v>
      </c>
      <c r="D33" s="32">
        <f>+$E$6*C33</f>
        <v>1126815</v>
      </c>
      <c r="E33" s="35"/>
      <c r="F33" s="35"/>
      <c r="G33" s="35"/>
      <c r="H33" s="64" t="s">
        <v>161</v>
      </c>
      <c r="I33" s="59">
        <v>40219</v>
      </c>
      <c r="J33" s="2">
        <v>40220</v>
      </c>
      <c r="K33" s="35">
        <f>D33</f>
        <v>1126815</v>
      </c>
      <c r="L33" s="35"/>
      <c r="N33" s="85"/>
    </row>
    <row r="34" spans="1:16" x14ac:dyDescent="0.25">
      <c r="B34" s="16" t="s">
        <v>55</v>
      </c>
      <c r="C34" s="16">
        <v>0.02</v>
      </c>
      <c r="D34" s="32">
        <f>+$E$6*C34</f>
        <v>225363</v>
      </c>
      <c r="E34" s="35"/>
      <c r="F34" s="35"/>
      <c r="G34" s="35"/>
      <c r="H34" s="64" t="s">
        <v>162</v>
      </c>
      <c r="I34" s="59">
        <v>40219</v>
      </c>
      <c r="J34" s="2">
        <v>40220</v>
      </c>
      <c r="K34" s="35">
        <f>D34</f>
        <v>225363</v>
      </c>
      <c r="L34" s="35"/>
      <c r="N34" s="85"/>
    </row>
    <row r="35" spans="1:16" x14ac:dyDescent="0.25">
      <c r="B35" s="16" t="s">
        <v>56</v>
      </c>
      <c r="C35" s="16">
        <v>0.03</v>
      </c>
      <c r="D35" s="32">
        <f>+$E$6*C35</f>
        <v>338044.5</v>
      </c>
      <c r="E35" s="35"/>
      <c r="F35" s="35"/>
      <c r="G35" s="35"/>
      <c r="H35" s="64" t="s">
        <v>163</v>
      </c>
      <c r="I35" s="59">
        <v>40219</v>
      </c>
      <c r="J35" s="2">
        <v>40220</v>
      </c>
      <c r="K35" s="35">
        <f>D35</f>
        <v>338044.5</v>
      </c>
      <c r="L35" s="35"/>
      <c r="N35" s="85"/>
    </row>
    <row r="36" spans="1:16" ht="45" x14ac:dyDescent="0.25">
      <c r="B36" s="19" t="s">
        <v>28</v>
      </c>
      <c r="C36" s="15"/>
      <c r="D36" s="70" t="s">
        <v>201</v>
      </c>
      <c r="E36" s="33">
        <f>SUM(D33:D35)</f>
        <v>1690222.5</v>
      </c>
      <c r="F36" s="38"/>
      <c r="G36" s="38"/>
      <c r="I36" s="59">
        <v>40219</v>
      </c>
      <c r="J36" s="2">
        <v>40220</v>
      </c>
      <c r="K36" s="33">
        <f>SUM(K33:K35)</f>
        <v>1690222.5</v>
      </c>
      <c r="L36" s="33">
        <v>1690222.5</v>
      </c>
      <c r="M36" s="58">
        <f>K36-L36</f>
        <v>0</v>
      </c>
      <c r="N36" s="85" t="s">
        <v>158</v>
      </c>
      <c r="O36" s="35">
        <f>E36-K36</f>
        <v>0</v>
      </c>
    </row>
    <row r="37" spans="1:16" x14ac:dyDescent="0.25">
      <c r="B37" s="19"/>
      <c r="C37" s="15"/>
      <c r="D37" s="70" t="s">
        <v>202</v>
      </c>
      <c r="E37" s="34">
        <f>E36*12%</f>
        <v>202826.69999999998</v>
      </c>
      <c r="F37" s="38"/>
      <c r="G37" s="38"/>
      <c r="J37" s="35"/>
      <c r="K37" s="34">
        <f>K36*12%</f>
        <v>202826.69999999998</v>
      </c>
      <c r="L37" s="34">
        <f>L36*12%</f>
        <v>202826.69999999998</v>
      </c>
      <c r="M37" s="58">
        <f>K37-L37</f>
        <v>0</v>
      </c>
    </row>
    <row r="38" spans="1:16" x14ac:dyDescent="0.25">
      <c r="B38" s="19"/>
      <c r="C38" s="15"/>
      <c r="D38" s="70" t="s">
        <v>41</v>
      </c>
      <c r="E38" s="72">
        <f>-E36*4.5%</f>
        <v>-76060.012499999997</v>
      </c>
      <c r="F38" s="38"/>
      <c r="G38" s="38"/>
      <c r="J38" s="35"/>
      <c r="K38" s="72">
        <f>-K36*4.5%</f>
        <v>-76060.012499999997</v>
      </c>
      <c r="L38" s="72">
        <f>-L36*4.5%</f>
        <v>-76060.012499999997</v>
      </c>
      <c r="M38" s="58">
        <f>K38-L38</f>
        <v>0</v>
      </c>
      <c r="N38" s="87"/>
    </row>
    <row r="39" spans="1:16" x14ac:dyDescent="0.25">
      <c r="B39" s="19"/>
      <c r="C39" s="15"/>
      <c r="D39" s="37"/>
      <c r="E39" s="34">
        <f>SUM(E36:E38)</f>
        <v>1816989.1875</v>
      </c>
      <c r="F39" s="38"/>
      <c r="G39" s="38"/>
      <c r="J39" s="35"/>
      <c r="K39" s="34">
        <f>SUM(K36:K38)</f>
        <v>1816989.1875</v>
      </c>
      <c r="L39" s="34">
        <f>SUM(L36:L38)</f>
        <v>1816989.1875</v>
      </c>
      <c r="M39" s="58">
        <f>K39-L39</f>
        <v>0</v>
      </c>
      <c r="N39" s="87"/>
    </row>
    <row r="40" spans="1:16" x14ac:dyDescent="0.25">
      <c r="A40" s="1" t="s">
        <v>29</v>
      </c>
      <c r="B40" s="20" t="s">
        <v>30</v>
      </c>
      <c r="C40" s="16"/>
      <c r="D40" s="35"/>
      <c r="E40" s="35"/>
      <c r="F40" s="35"/>
      <c r="G40" s="35"/>
      <c r="J40" s="35"/>
      <c r="K40" s="35"/>
      <c r="L40" s="35"/>
    </row>
    <row r="41" spans="1:16" x14ac:dyDescent="0.25">
      <c r="B41" s="13" t="s">
        <v>57</v>
      </c>
      <c r="C41" s="16">
        <v>0.04</v>
      </c>
      <c r="D41" s="32">
        <f>+$E$6*C41</f>
        <v>450726</v>
      </c>
      <c r="E41" s="35"/>
      <c r="F41" s="35"/>
      <c r="G41" s="35"/>
      <c r="H41" s="64" t="s">
        <v>164</v>
      </c>
      <c r="I41" s="2">
        <v>40302</v>
      </c>
      <c r="J41" s="35" t="s">
        <v>165</v>
      </c>
      <c r="K41" s="35">
        <f>225363*2</f>
        <v>450726</v>
      </c>
      <c r="L41" s="35"/>
      <c r="N41" s="85"/>
    </row>
    <row r="42" spans="1:16" x14ac:dyDescent="0.25">
      <c r="B42" s="13" t="s">
        <v>58</v>
      </c>
      <c r="C42" s="16">
        <v>0.03</v>
      </c>
      <c r="D42" s="32">
        <f>+$E$6*C42</f>
        <v>338044.5</v>
      </c>
      <c r="E42" s="35"/>
      <c r="F42" s="35"/>
      <c r="G42" s="35"/>
      <c r="H42" s="64" t="s">
        <v>166</v>
      </c>
      <c r="I42" s="2">
        <v>40302</v>
      </c>
      <c r="J42" s="35" t="s">
        <v>165</v>
      </c>
      <c r="K42" s="35">
        <f>169022.25*2</f>
        <v>338044.5</v>
      </c>
      <c r="L42" s="35"/>
      <c r="N42" s="85"/>
    </row>
    <row r="43" spans="1:16" x14ac:dyDescent="0.25">
      <c r="B43" s="13" t="s">
        <v>59</v>
      </c>
      <c r="C43" s="16">
        <v>0.03</v>
      </c>
      <c r="D43" s="32">
        <f>+$E$6*C43</f>
        <v>338044.5</v>
      </c>
      <c r="E43" s="35"/>
      <c r="F43" s="35"/>
      <c r="G43" s="35"/>
      <c r="H43" s="64" t="s">
        <v>167</v>
      </c>
      <c r="I43" s="2">
        <v>40302</v>
      </c>
      <c r="J43" s="35" t="s">
        <v>165</v>
      </c>
      <c r="K43" s="35">
        <f>169022.25*2</f>
        <v>338044.5</v>
      </c>
      <c r="L43" s="35"/>
      <c r="N43" s="85"/>
    </row>
    <row r="44" spans="1:16" ht="30" x14ac:dyDescent="0.25">
      <c r="B44" s="96" t="s">
        <v>220</v>
      </c>
      <c r="C44" s="16"/>
      <c r="D44" s="32"/>
      <c r="E44" s="35"/>
      <c r="F44" s="35"/>
      <c r="G44" s="35"/>
      <c r="H44" s="64">
        <v>105</v>
      </c>
      <c r="I44" s="2">
        <v>40302</v>
      </c>
      <c r="J44" s="35" t="s">
        <v>165</v>
      </c>
      <c r="K44" s="35">
        <v>536407.5</v>
      </c>
      <c r="L44" s="35"/>
      <c r="N44" s="85" t="s">
        <v>223</v>
      </c>
      <c r="P44" s="35"/>
    </row>
    <row r="45" spans="1:16" ht="30" x14ac:dyDescent="0.25">
      <c r="B45" s="20" t="s">
        <v>31</v>
      </c>
      <c r="C45" s="15"/>
      <c r="D45" s="70" t="s">
        <v>201</v>
      </c>
      <c r="E45" s="73">
        <f>SUM(D41:D43)</f>
        <v>1126815</v>
      </c>
      <c r="F45" s="38"/>
      <c r="G45" s="38"/>
      <c r="I45" s="2">
        <v>40302</v>
      </c>
      <c r="J45" s="35" t="s">
        <v>165</v>
      </c>
      <c r="K45" s="73">
        <f>SUM(K41:K44)</f>
        <v>1663222.5</v>
      </c>
      <c r="L45" s="73"/>
      <c r="M45" s="58">
        <f>K45-L45</f>
        <v>1663222.5</v>
      </c>
      <c r="N45" s="85" t="s">
        <v>224</v>
      </c>
      <c r="O45" s="99">
        <f>E45-K45</f>
        <v>-536407.5</v>
      </c>
    </row>
    <row r="46" spans="1:16" x14ac:dyDescent="0.25">
      <c r="B46" s="20"/>
      <c r="C46" s="15"/>
      <c r="D46" s="70" t="s">
        <v>202</v>
      </c>
      <c r="E46" s="34">
        <f>E45*12%</f>
        <v>135217.79999999999</v>
      </c>
      <c r="F46" s="38"/>
      <c r="G46" s="38"/>
      <c r="J46" s="35"/>
      <c r="K46" s="34">
        <f>K45*12%</f>
        <v>199586.69999999998</v>
      </c>
      <c r="L46" s="34"/>
      <c r="M46" s="58">
        <f>K46-L46</f>
        <v>199586.69999999998</v>
      </c>
    </row>
    <row r="47" spans="1:16" x14ac:dyDescent="0.25">
      <c r="B47" s="20"/>
      <c r="C47" s="15"/>
      <c r="D47" s="70" t="s">
        <v>41</v>
      </c>
      <c r="E47" s="72">
        <f>-E45*4.5%</f>
        <v>-50706.674999999996</v>
      </c>
      <c r="F47" s="38"/>
      <c r="G47" s="38"/>
      <c r="J47" s="35"/>
      <c r="K47" s="72">
        <f>-K45*4.5%</f>
        <v>-74845.012499999997</v>
      </c>
      <c r="L47" s="72"/>
      <c r="M47" s="58">
        <f>K47-L47</f>
        <v>-74845.012499999997</v>
      </c>
    </row>
    <row r="48" spans="1:16" x14ac:dyDescent="0.25">
      <c r="B48" s="20"/>
      <c r="C48" s="15"/>
      <c r="D48" s="38"/>
      <c r="E48" s="34">
        <f>SUM(E45:E47)</f>
        <v>1211326.125</v>
      </c>
      <c r="F48" s="38"/>
      <c r="G48" s="38"/>
      <c r="J48" s="35"/>
      <c r="K48" s="34">
        <f>SUM(K45:K47)</f>
        <v>1787964.1875</v>
      </c>
      <c r="L48" s="34">
        <f>SUM(L45:L47)</f>
        <v>0</v>
      </c>
      <c r="M48" s="58">
        <f>K48-L48</f>
        <v>1787964.1875</v>
      </c>
    </row>
    <row r="49" spans="1:13" x14ac:dyDescent="0.25">
      <c r="A49" s="1" t="s">
        <v>32</v>
      </c>
      <c r="B49" s="20" t="s">
        <v>33</v>
      </c>
      <c r="C49" s="16"/>
      <c r="D49" s="35"/>
      <c r="E49" s="35"/>
      <c r="F49" s="35"/>
      <c r="G49" s="35"/>
      <c r="J49" s="35"/>
      <c r="K49" s="35"/>
      <c r="L49" s="35"/>
      <c r="M49" s="35"/>
    </row>
    <row r="50" spans="1:13" x14ac:dyDescent="0.25">
      <c r="B50" s="13" t="s">
        <v>60</v>
      </c>
      <c r="C50" s="16">
        <v>0.02</v>
      </c>
      <c r="D50" s="32">
        <f>+$E$6*C50</f>
        <v>225363</v>
      </c>
      <c r="E50" s="35"/>
      <c r="F50" s="35"/>
      <c r="G50" s="35"/>
      <c r="H50" s="64" t="s">
        <v>175</v>
      </c>
      <c r="I50" s="2">
        <v>40302</v>
      </c>
      <c r="J50" s="35" t="s">
        <v>165</v>
      </c>
      <c r="K50" s="35">
        <f>D50</f>
        <v>225363</v>
      </c>
      <c r="L50" s="35"/>
      <c r="M50" s="35"/>
    </row>
    <row r="51" spans="1:13" ht="30" x14ac:dyDescent="0.25">
      <c r="B51" s="21" t="s">
        <v>61</v>
      </c>
      <c r="C51" s="16">
        <v>0.04</v>
      </c>
      <c r="D51" s="32">
        <f>+$E$6*C51</f>
        <v>450726</v>
      </c>
      <c r="E51" s="35"/>
      <c r="F51" s="35"/>
      <c r="G51" s="35"/>
      <c r="H51" s="64" t="s">
        <v>176</v>
      </c>
      <c r="I51" s="2">
        <v>40302</v>
      </c>
      <c r="J51" s="35" t="s">
        <v>165</v>
      </c>
      <c r="K51" s="35">
        <f>D51</f>
        <v>450726</v>
      </c>
      <c r="L51" s="35"/>
      <c r="M51" s="35"/>
    </row>
    <row r="52" spans="1:13" x14ac:dyDescent="0.25">
      <c r="B52" s="13" t="s">
        <v>62</v>
      </c>
      <c r="C52" s="16">
        <v>0.04</v>
      </c>
      <c r="D52" s="32">
        <f>+$E$6*C52</f>
        <v>450726</v>
      </c>
      <c r="E52" s="35"/>
      <c r="F52" s="35"/>
      <c r="G52" s="35"/>
      <c r="H52" s="64" t="s">
        <v>177</v>
      </c>
      <c r="I52" s="2">
        <v>40302</v>
      </c>
      <c r="J52" s="35" t="s">
        <v>165</v>
      </c>
      <c r="K52" s="35">
        <f>D52</f>
        <v>450726</v>
      </c>
      <c r="L52" s="35"/>
      <c r="M52" s="35"/>
    </row>
    <row r="53" spans="1:13" x14ac:dyDescent="0.25">
      <c r="B53" s="20" t="s">
        <v>34</v>
      </c>
      <c r="C53" s="16"/>
      <c r="D53" s="70" t="s">
        <v>201</v>
      </c>
      <c r="E53" s="73">
        <f>SUM(D50:D52)</f>
        <v>1126815</v>
      </c>
      <c r="F53" s="38"/>
      <c r="G53" s="38"/>
      <c r="I53" s="2">
        <v>40302</v>
      </c>
      <c r="J53" s="35"/>
      <c r="K53" s="73">
        <f>SUM(K50:K52)</f>
        <v>1126815</v>
      </c>
      <c r="L53" s="73">
        <f>+J53</f>
        <v>0</v>
      </c>
      <c r="M53" s="58">
        <f>K53-L53</f>
        <v>1126815</v>
      </c>
    </row>
    <row r="54" spans="1:13" x14ac:dyDescent="0.25">
      <c r="B54" s="20"/>
      <c r="C54" s="16"/>
      <c r="D54" s="70" t="s">
        <v>202</v>
      </c>
      <c r="E54" s="34">
        <f>E53*12%</f>
        <v>135217.79999999999</v>
      </c>
      <c r="F54" s="38"/>
      <c r="G54" s="38"/>
      <c r="J54" s="35"/>
      <c r="K54" s="34">
        <f>K53*12%</f>
        <v>135217.79999999999</v>
      </c>
      <c r="L54" s="34"/>
      <c r="M54" s="58">
        <f>K54-L54</f>
        <v>135217.79999999999</v>
      </c>
    </row>
    <row r="55" spans="1:13" x14ac:dyDescent="0.25">
      <c r="B55" s="20"/>
      <c r="C55" s="16"/>
      <c r="D55" s="70" t="s">
        <v>41</v>
      </c>
      <c r="E55" s="72">
        <f>-E53*4.5%</f>
        <v>-50706.674999999996</v>
      </c>
      <c r="F55" s="38"/>
      <c r="G55" s="38"/>
      <c r="J55" s="35"/>
      <c r="K55" s="72">
        <f>-K53*4.5%</f>
        <v>-50706.674999999996</v>
      </c>
      <c r="L55" s="72"/>
      <c r="M55" s="58">
        <f>K55-L55</f>
        <v>-50706.674999999996</v>
      </c>
    </row>
    <row r="56" spans="1:13" x14ac:dyDescent="0.25">
      <c r="B56" s="20"/>
      <c r="C56" s="16"/>
      <c r="D56" s="35"/>
      <c r="E56" s="34">
        <f>SUM(E53:E55)</f>
        <v>1211326.125</v>
      </c>
      <c r="F56" s="38"/>
      <c r="G56" s="38"/>
      <c r="J56" s="35"/>
      <c r="K56" s="34">
        <f>SUM(K53:K55)</f>
        <v>1211326.125</v>
      </c>
      <c r="L56" s="34"/>
      <c r="M56" s="58">
        <f>K56-L56</f>
        <v>1211326.125</v>
      </c>
    </row>
    <row r="57" spans="1:13" x14ac:dyDescent="0.25">
      <c r="A57" s="1" t="s">
        <v>35</v>
      </c>
      <c r="B57" s="20" t="s">
        <v>36</v>
      </c>
      <c r="C57" s="16"/>
      <c r="D57" s="35"/>
      <c r="E57" s="35"/>
      <c r="F57" s="35"/>
      <c r="G57" s="35"/>
      <c r="J57" s="35"/>
      <c r="K57" s="35"/>
      <c r="L57" s="35"/>
      <c r="M57" s="35"/>
    </row>
    <row r="58" spans="1:13" ht="30" x14ac:dyDescent="0.25">
      <c r="B58" s="21" t="s">
        <v>63</v>
      </c>
      <c r="C58" s="16">
        <v>0.04</v>
      </c>
      <c r="D58" s="32">
        <f>+$E$6*C58</f>
        <v>450726</v>
      </c>
      <c r="E58" s="35"/>
      <c r="F58" s="35"/>
      <c r="G58" s="35"/>
      <c r="H58" s="64" t="s">
        <v>183</v>
      </c>
      <c r="I58" s="2">
        <v>40302</v>
      </c>
      <c r="J58" s="35" t="s">
        <v>165</v>
      </c>
      <c r="K58" s="35">
        <f>D58</f>
        <v>450726</v>
      </c>
      <c r="L58" s="35"/>
      <c r="M58" s="35"/>
    </row>
    <row r="59" spans="1:13" x14ac:dyDescent="0.25">
      <c r="B59" s="21" t="s">
        <v>64</v>
      </c>
      <c r="C59" s="16">
        <v>0.02</v>
      </c>
      <c r="D59" s="32">
        <f>+$E$6*C59</f>
        <v>225363</v>
      </c>
      <c r="E59" s="35"/>
      <c r="F59" s="35"/>
      <c r="G59" s="35"/>
      <c r="H59" s="64" t="s">
        <v>184</v>
      </c>
      <c r="I59" s="2">
        <v>40302</v>
      </c>
      <c r="J59" s="35" t="s">
        <v>165</v>
      </c>
      <c r="K59" s="35">
        <f>D59</f>
        <v>225363</v>
      </c>
      <c r="L59" s="35"/>
      <c r="M59" s="35"/>
    </row>
    <row r="60" spans="1:13" x14ac:dyDescent="0.25">
      <c r="B60" s="21" t="s">
        <v>65</v>
      </c>
      <c r="C60" s="16">
        <v>0.02</v>
      </c>
      <c r="D60" s="32">
        <f>+$E$6*C60</f>
        <v>225363</v>
      </c>
      <c r="E60" s="35"/>
      <c r="F60" s="35"/>
      <c r="G60" s="35"/>
      <c r="H60" s="64" t="s">
        <v>185</v>
      </c>
      <c r="I60" s="2">
        <v>40302</v>
      </c>
      <c r="J60" s="35" t="s">
        <v>165</v>
      </c>
      <c r="K60" s="35">
        <f>D60</f>
        <v>225363</v>
      </c>
      <c r="L60" s="35"/>
      <c r="M60" s="35"/>
    </row>
    <row r="61" spans="1:13" x14ac:dyDescent="0.25">
      <c r="B61" s="21" t="s">
        <v>66</v>
      </c>
      <c r="C61" s="16">
        <v>0.03</v>
      </c>
      <c r="D61" s="32">
        <f>+$E$6*C61</f>
        <v>338044.5</v>
      </c>
      <c r="E61" s="35"/>
      <c r="F61" s="35"/>
      <c r="G61" s="35"/>
      <c r="H61" s="64" t="s">
        <v>186</v>
      </c>
      <c r="I61" s="2">
        <v>40302</v>
      </c>
      <c r="J61" s="35" t="s">
        <v>165</v>
      </c>
      <c r="K61" s="35">
        <f>D61</f>
        <v>338044.5</v>
      </c>
      <c r="L61" s="35"/>
      <c r="M61" s="35"/>
    </row>
    <row r="62" spans="1:13" x14ac:dyDescent="0.25">
      <c r="B62" s="21" t="s">
        <v>67</v>
      </c>
      <c r="C62" s="16">
        <v>0.04</v>
      </c>
      <c r="D62" s="32">
        <f>+$E$6*C62</f>
        <v>450726</v>
      </c>
      <c r="E62" s="35"/>
      <c r="F62" s="35"/>
      <c r="G62" s="35"/>
      <c r="H62" s="64" t="s">
        <v>187</v>
      </c>
      <c r="I62" s="2">
        <v>40302</v>
      </c>
      <c r="J62" s="35" t="s">
        <v>165</v>
      </c>
      <c r="K62" s="35">
        <f>D62</f>
        <v>450726</v>
      </c>
      <c r="L62" s="35"/>
      <c r="M62" s="35"/>
    </row>
    <row r="63" spans="1:13" x14ac:dyDescent="0.25">
      <c r="B63" s="1" t="s">
        <v>37</v>
      </c>
      <c r="C63" s="16"/>
      <c r="D63" s="70" t="s">
        <v>201</v>
      </c>
      <c r="E63" s="73">
        <f>SUM(D58:D62)</f>
        <v>1690222.5</v>
      </c>
      <c r="F63" s="38"/>
      <c r="G63" s="38"/>
      <c r="I63" s="2">
        <v>40302</v>
      </c>
      <c r="J63" s="35" t="s">
        <v>165</v>
      </c>
      <c r="K63" s="73">
        <f>SUM(K58:K62)</f>
        <v>1690222.5</v>
      </c>
      <c r="L63" s="73"/>
      <c r="M63" s="58">
        <f>K63-L63</f>
        <v>1690222.5</v>
      </c>
    </row>
    <row r="64" spans="1:13" x14ac:dyDescent="0.25">
      <c r="B64" s="1"/>
      <c r="C64" s="16"/>
      <c r="D64" s="70" t="s">
        <v>202</v>
      </c>
      <c r="E64" s="34">
        <f>E63*12%</f>
        <v>202826.69999999998</v>
      </c>
      <c r="F64" s="38"/>
      <c r="G64" s="38"/>
      <c r="J64" s="35"/>
      <c r="K64" s="34">
        <f>K63*12%</f>
        <v>202826.69999999998</v>
      </c>
      <c r="L64" s="34"/>
      <c r="M64" s="58">
        <f>K64-L64</f>
        <v>202826.69999999998</v>
      </c>
    </row>
    <row r="65" spans="1:14" x14ac:dyDescent="0.25">
      <c r="B65" s="1"/>
      <c r="C65" s="16"/>
      <c r="D65" s="70" t="s">
        <v>41</v>
      </c>
      <c r="E65" s="72">
        <f>-E63*4.5%</f>
        <v>-76060.012499999997</v>
      </c>
      <c r="F65" s="38"/>
      <c r="G65" s="38"/>
      <c r="J65" s="35"/>
      <c r="K65" s="72">
        <f>-K63*4.5%</f>
        <v>-76060.012499999997</v>
      </c>
      <c r="L65" s="72"/>
      <c r="M65" s="58">
        <f>K65-L65</f>
        <v>-76060.012499999997</v>
      </c>
    </row>
    <row r="66" spans="1:14" x14ac:dyDescent="0.25">
      <c r="B66" s="1"/>
      <c r="C66" s="16"/>
      <c r="D66" s="35"/>
      <c r="E66" s="34">
        <f>SUM(E63:E65)</f>
        <v>1816989.1875</v>
      </c>
      <c r="F66" s="38"/>
      <c r="G66" s="38"/>
      <c r="J66" s="35"/>
      <c r="K66" s="34">
        <f>SUM(K63:K65)</f>
        <v>1816989.1875</v>
      </c>
      <c r="L66" s="34"/>
      <c r="M66" s="58">
        <f>K66-L66</f>
        <v>1816989.1875</v>
      </c>
    </row>
    <row r="67" spans="1:14" x14ac:dyDescent="0.25">
      <c r="A67" s="1" t="s">
        <v>38</v>
      </c>
      <c r="B67" s="1" t="s">
        <v>39</v>
      </c>
      <c r="C67" s="16"/>
      <c r="D67" s="35"/>
      <c r="E67" s="35"/>
      <c r="F67" s="35"/>
      <c r="G67" s="35"/>
      <c r="J67" s="35"/>
      <c r="K67" s="35"/>
      <c r="L67" s="35"/>
      <c r="M67" s="35"/>
    </row>
    <row r="68" spans="1:14" ht="30" x14ac:dyDescent="0.25">
      <c r="B68" s="21" t="s">
        <v>68</v>
      </c>
      <c r="C68" s="16">
        <v>0.03</v>
      </c>
      <c r="D68" s="32">
        <f>+$E$6*C68</f>
        <v>338044.5</v>
      </c>
      <c r="E68" s="35"/>
      <c r="F68" s="35"/>
      <c r="G68" s="35"/>
      <c r="H68" s="64" t="s">
        <v>191</v>
      </c>
      <c r="I68" s="2">
        <v>40302</v>
      </c>
      <c r="J68" s="35" t="s">
        <v>165</v>
      </c>
      <c r="K68" s="35">
        <f>D68</f>
        <v>338044.5</v>
      </c>
      <c r="L68" s="35"/>
      <c r="M68" s="35"/>
    </row>
    <row r="69" spans="1:14" ht="45" x14ac:dyDescent="0.25">
      <c r="B69" s="21" t="s">
        <v>69</v>
      </c>
      <c r="C69" s="16">
        <v>0.01</v>
      </c>
      <c r="D69" s="32">
        <f>+$E$6*C69</f>
        <v>112681.5</v>
      </c>
      <c r="E69" s="35"/>
      <c r="F69" s="35"/>
      <c r="G69" s="35"/>
      <c r="H69" s="64" t="s">
        <v>192</v>
      </c>
      <c r="I69" s="2">
        <v>40302</v>
      </c>
      <c r="J69" s="35" t="s">
        <v>165</v>
      </c>
      <c r="K69" s="35">
        <f>D69</f>
        <v>112681.5</v>
      </c>
      <c r="L69" s="35"/>
      <c r="M69" s="35"/>
    </row>
    <row r="70" spans="1:14" ht="45" x14ac:dyDescent="0.25">
      <c r="B70" s="21" t="s">
        <v>70</v>
      </c>
      <c r="C70" s="16">
        <v>0.01</v>
      </c>
      <c r="D70" s="32">
        <f>+$E$6*C70</f>
        <v>112681.5</v>
      </c>
      <c r="E70" s="35"/>
      <c r="F70" s="35"/>
      <c r="G70" s="35"/>
      <c r="H70" s="64" t="s">
        <v>193</v>
      </c>
      <c r="I70" s="2">
        <v>40302</v>
      </c>
      <c r="J70" s="35" t="s">
        <v>165</v>
      </c>
      <c r="K70" s="35">
        <f>D70</f>
        <v>112681.5</v>
      </c>
      <c r="L70" s="35"/>
      <c r="M70" s="35"/>
    </row>
    <row r="71" spans="1:14" x14ac:dyDescent="0.25">
      <c r="B71" s="1" t="s">
        <v>40</v>
      </c>
      <c r="D71" s="70" t="s">
        <v>201</v>
      </c>
      <c r="E71" s="73">
        <f>SUM(D68:D70)</f>
        <v>563407.5</v>
      </c>
      <c r="F71" s="38"/>
      <c r="G71" s="38"/>
      <c r="I71" s="2">
        <v>40302</v>
      </c>
      <c r="J71" s="35"/>
      <c r="K71" s="35">
        <f>SUM(K68:K70)</f>
        <v>563407.5</v>
      </c>
      <c r="L71" s="73">
        <f>+J71</f>
        <v>0</v>
      </c>
      <c r="M71" s="58">
        <f>K71-L71</f>
        <v>563407.5</v>
      </c>
    </row>
    <row r="72" spans="1:14" x14ac:dyDescent="0.25">
      <c r="B72" s="1"/>
      <c r="D72" s="70" t="s">
        <v>202</v>
      </c>
      <c r="E72" s="34">
        <f>E71*12%</f>
        <v>67608.899999999994</v>
      </c>
      <c r="F72" s="38"/>
      <c r="G72" s="38"/>
      <c r="J72" s="35"/>
      <c r="K72" s="34">
        <f>K71*12%</f>
        <v>67608.899999999994</v>
      </c>
      <c r="L72" s="34"/>
      <c r="M72" s="58">
        <f>K72-L72</f>
        <v>67608.899999999994</v>
      </c>
    </row>
    <row r="73" spans="1:14" x14ac:dyDescent="0.25">
      <c r="B73" s="1"/>
      <c r="D73" s="70" t="s">
        <v>41</v>
      </c>
      <c r="E73" s="72">
        <f>-E71*4.5%</f>
        <v>-25353.337499999998</v>
      </c>
      <c r="F73" s="38"/>
      <c r="G73" s="38"/>
      <c r="J73" s="35"/>
      <c r="K73" s="72">
        <f>-K71*4.5%</f>
        <v>-25353.337499999998</v>
      </c>
      <c r="L73" s="72"/>
      <c r="M73" s="58">
        <f>K73-L73</f>
        <v>-25353.337499999998</v>
      </c>
    </row>
    <row r="74" spans="1:14" x14ac:dyDescent="0.25">
      <c r="B74" s="1"/>
      <c r="D74" s="35"/>
      <c r="E74" s="34">
        <f>SUM(E71:E73)</f>
        <v>605663.0625</v>
      </c>
      <c r="F74" s="38"/>
      <c r="G74" s="38"/>
      <c r="J74" s="35"/>
      <c r="K74" s="34">
        <f>SUM(K71:K73)</f>
        <v>605663.0625</v>
      </c>
      <c r="L74" s="34"/>
      <c r="M74" s="58">
        <f>K74-L74</f>
        <v>605663.0625</v>
      </c>
    </row>
    <row r="75" spans="1:14" x14ac:dyDescent="0.25">
      <c r="B75" s="1"/>
      <c r="D75" s="35"/>
      <c r="E75" s="34"/>
      <c r="F75" s="38"/>
      <c r="G75" s="38"/>
      <c r="J75" s="35"/>
      <c r="K75" s="34"/>
      <c r="L75" s="70"/>
      <c r="M75" s="35"/>
    </row>
    <row r="76" spans="1:14" x14ac:dyDescent="0.25">
      <c r="A76" s="1"/>
      <c r="B76" s="74" t="s">
        <v>203</v>
      </c>
      <c r="C76" s="75">
        <f>SUM(C8:C70)</f>
        <v>1.0000000000000004</v>
      </c>
      <c r="D76" s="69"/>
      <c r="E76" s="76">
        <f>SUM(E8,E20,E28,E36,E45,E53,E63,E71)</f>
        <v>11268150</v>
      </c>
      <c r="F76" s="40"/>
      <c r="G76" s="40"/>
      <c r="I76" s="35"/>
      <c r="J76" s="35"/>
      <c r="K76" s="76">
        <f t="shared" ref="K76:L78" si="2">SUM(K8,K20,K28,K36,K45,K53,K63,K71)</f>
        <v>11241150</v>
      </c>
      <c r="L76" s="76">
        <f t="shared" si="2"/>
        <v>6197482.5</v>
      </c>
      <c r="M76" s="58">
        <f>K76-L76</f>
        <v>5043667.5</v>
      </c>
      <c r="N76" s="105">
        <f>E76-K76</f>
        <v>27000</v>
      </c>
    </row>
    <row r="77" spans="1:14" x14ac:dyDescent="0.25">
      <c r="B77" s="80" t="s">
        <v>201</v>
      </c>
      <c r="C77" s="77"/>
      <c r="D77" s="77"/>
      <c r="E77" s="78">
        <f>SUM(E9,E21,E29,E37,E46,E54,E64,E72)</f>
        <v>1352177.9999999998</v>
      </c>
      <c r="K77" s="78">
        <f t="shared" si="2"/>
        <v>1348937.9999999998</v>
      </c>
      <c r="L77" s="78">
        <f t="shared" si="2"/>
        <v>743697.89999999991</v>
      </c>
      <c r="M77" s="58">
        <f>K77-L77</f>
        <v>605240.09999999986</v>
      </c>
    </row>
    <row r="78" spans="1:14" x14ac:dyDescent="0.25">
      <c r="B78" s="80" t="s">
        <v>202</v>
      </c>
      <c r="C78" s="77"/>
      <c r="D78" s="77"/>
      <c r="E78" s="79">
        <f>SUM(E10,E22,E30,E38,E47,E55,E65,E73)</f>
        <v>-507066.75</v>
      </c>
      <c r="K78" s="79">
        <f t="shared" si="2"/>
        <v>-505851.75</v>
      </c>
      <c r="L78" s="79">
        <f t="shared" si="2"/>
        <v>-278886.71749999997</v>
      </c>
      <c r="M78" s="58">
        <f>K78-L78</f>
        <v>-226965.03250000003</v>
      </c>
    </row>
    <row r="79" spans="1:14" x14ac:dyDescent="0.25">
      <c r="B79" s="74" t="s">
        <v>41</v>
      </c>
      <c r="C79" s="77"/>
      <c r="D79" s="77"/>
      <c r="E79" s="78">
        <f>SUM(E76:E78)</f>
        <v>12113261.25</v>
      </c>
      <c r="K79" s="78">
        <f>SUM(K76:K78)</f>
        <v>12084236.25</v>
      </c>
      <c r="L79" s="78">
        <f>SUM(L76:L78)</f>
        <v>6662293.6825000001</v>
      </c>
      <c r="M79" s="58">
        <f>K79-L79</f>
        <v>5421942.5674999999</v>
      </c>
    </row>
    <row r="80" spans="1:14" x14ac:dyDescent="0.25">
      <c r="K80" s="35"/>
    </row>
    <row r="81" spans="11:13" x14ac:dyDescent="0.25">
      <c r="L81" s="35"/>
      <c r="M81" s="58"/>
    </row>
    <row r="83" spans="11:13" x14ac:dyDescent="0.25">
      <c r="K83" s="35"/>
    </row>
  </sheetData>
  <phoneticPr fontId="7" type="noConversion"/>
  <pageMargins left="0.7" right="0.7" top="0.75" bottom="0.75" header="0.3" footer="0.3"/>
  <pageSetup scale="8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104"/>
  <sheetViews>
    <sheetView topLeftCell="C1" zoomScaleNormal="100" workbookViewId="0">
      <pane ySplit="6" topLeftCell="A16" activePane="bottomLeft" state="frozenSplit"/>
      <selection activeCell="C1" sqref="C1"/>
      <selection pane="bottomLeft" activeCell="G24" sqref="G24"/>
    </sheetView>
  </sheetViews>
  <sheetFormatPr defaultRowHeight="15" x14ac:dyDescent="0.25"/>
  <cols>
    <col min="1" max="1" width="12.85546875" customWidth="1"/>
    <col min="2" max="2" width="47" customWidth="1"/>
    <col min="3" max="3" width="24.140625" customWidth="1"/>
    <col min="4" max="4" width="17.7109375" bestFit="1" customWidth="1"/>
    <col min="5" max="5" width="16.140625" bestFit="1" customWidth="1"/>
    <col min="6" max="6" width="3.5703125" customWidth="1"/>
    <col min="7" max="7" width="8.28515625" bestFit="1" customWidth="1"/>
    <col min="8" max="8" width="12.42578125" style="2" bestFit="1" customWidth="1"/>
    <col min="9" max="9" width="12.42578125" bestFit="1" customWidth="1"/>
    <col min="10" max="12" width="16.140625" bestFit="1" customWidth="1"/>
    <col min="13" max="13" width="17.42578125" customWidth="1"/>
  </cols>
  <sheetData>
    <row r="1" spans="1:13" x14ac:dyDescent="0.25">
      <c r="A1" s="1" t="s">
        <v>74</v>
      </c>
      <c r="B1" s="1" t="s">
        <v>75</v>
      </c>
      <c r="C1" t="s">
        <v>79</v>
      </c>
    </row>
    <row r="2" spans="1:13" x14ac:dyDescent="0.25">
      <c r="A2" s="1" t="s">
        <v>76</v>
      </c>
      <c r="B2" s="1" t="s">
        <v>77</v>
      </c>
      <c r="C2" t="s">
        <v>80</v>
      </c>
    </row>
    <row r="3" spans="1:13" x14ac:dyDescent="0.25">
      <c r="A3" t="s">
        <v>3</v>
      </c>
      <c r="B3" t="s">
        <v>78</v>
      </c>
    </row>
    <row r="4" spans="1:13" ht="15.75" thickBot="1" x14ac:dyDescent="0.3"/>
    <row r="5" spans="1:13" x14ac:dyDescent="0.25">
      <c r="A5" s="4"/>
      <c r="B5" s="6"/>
      <c r="C5" s="5"/>
      <c r="D5" s="23" t="s">
        <v>42</v>
      </c>
      <c r="E5" s="24">
        <v>41934587</v>
      </c>
      <c r="F5" s="25"/>
      <c r="G5" s="7" t="s">
        <v>10</v>
      </c>
      <c r="H5" s="52" t="s">
        <v>10</v>
      </c>
      <c r="I5" s="26"/>
      <c r="J5" s="24" t="s">
        <v>222</v>
      </c>
      <c r="K5" s="24" t="s">
        <v>11</v>
      </c>
      <c r="L5" s="24" t="s">
        <v>204</v>
      </c>
      <c r="M5" s="83" t="s">
        <v>205</v>
      </c>
    </row>
    <row r="6" spans="1:13" ht="15.75" thickBot="1" x14ac:dyDescent="0.3">
      <c r="A6" s="9" t="s">
        <v>43</v>
      </c>
      <c r="B6" s="10" t="s">
        <v>12</v>
      </c>
      <c r="C6" s="10" t="s">
        <v>13</v>
      </c>
      <c r="D6" s="29" t="s">
        <v>14</v>
      </c>
      <c r="E6" s="29" t="s">
        <v>15</v>
      </c>
      <c r="F6" s="30"/>
      <c r="G6" s="11" t="s">
        <v>73</v>
      </c>
      <c r="H6" s="53" t="s">
        <v>17</v>
      </c>
      <c r="I6" s="31" t="s">
        <v>133</v>
      </c>
      <c r="J6" s="29"/>
      <c r="K6" s="29" t="s">
        <v>14</v>
      </c>
      <c r="L6" s="29"/>
      <c r="M6" s="31"/>
    </row>
    <row r="7" spans="1:13" x14ac:dyDescent="0.25">
      <c r="B7" s="89" t="s">
        <v>216</v>
      </c>
      <c r="C7" s="16">
        <v>0.25</v>
      </c>
      <c r="D7" s="32">
        <f>+$E$5*C7</f>
        <v>10483646.75</v>
      </c>
      <c r="E7" s="33">
        <f>+D7</f>
        <v>10483646.75</v>
      </c>
      <c r="F7" s="34"/>
      <c r="G7" s="65">
        <v>85</v>
      </c>
      <c r="H7" s="2">
        <v>40199</v>
      </c>
      <c r="I7" s="59">
        <v>40203</v>
      </c>
      <c r="J7" s="33">
        <f>E7</f>
        <v>10483646.75</v>
      </c>
      <c r="K7" s="33">
        <f>'[1]LA RAISA'!$C$3</f>
        <v>4193459</v>
      </c>
      <c r="L7" s="33">
        <f>J7-K7</f>
        <v>6290187.75</v>
      </c>
      <c r="M7" s="35"/>
    </row>
    <row r="8" spans="1:13" x14ac:dyDescent="0.25">
      <c r="B8" s="15"/>
      <c r="C8" s="16"/>
      <c r="D8" s="70" t="s">
        <v>201</v>
      </c>
      <c r="E8" s="34">
        <f>E7*12%</f>
        <v>1258037.6099999999</v>
      </c>
      <c r="F8" s="34"/>
      <c r="G8" s="65"/>
      <c r="I8" s="59"/>
      <c r="J8" s="34">
        <f>E8</f>
        <v>1258037.6099999999</v>
      </c>
      <c r="K8" s="34">
        <f>K7*12%</f>
        <v>503215.07999999996</v>
      </c>
      <c r="L8" s="34">
        <f>J8-K8</f>
        <v>754822.52999999991</v>
      </c>
      <c r="M8" s="34"/>
    </row>
    <row r="9" spans="1:13" x14ac:dyDescent="0.25">
      <c r="B9" s="15"/>
      <c r="C9" s="16"/>
      <c r="D9" s="70" t="s">
        <v>202</v>
      </c>
      <c r="E9" s="72">
        <f>-E7*4.5%</f>
        <v>-471764.10375000001</v>
      </c>
      <c r="F9" s="34"/>
      <c r="G9" s="65"/>
      <c r="I9" s="59"/>
      <c r="J9" s="72">
        <f>E9</f>
        <v>-471764.10375000001</v>
      </c>
      <c r="K9" s="72">
        <f>-K7*4.5%</f>
        <v>-188705.655</v>
      </c>
      <c r="L9" s="72">
        <f>J9-K9</f>
        <v>-283058.44874999998</v>
      </c>
      <c r="M9" s="72"/>
    </row>
    <row r="10" spans="1:13" x14ac:dyDescent="0.25">
      <c r="B10" s="15"/>
      <c r="C10" s="16"/>
      <c r="D10" s="70" t="s">
        <v>41</v>
      </c>
      <c r="E10" s="34">
        <f>SUM(E7:E9)</f>
        <v>11269920.25625</v>
      </c>
      <c r="F10" s="34"/>
      <c r="G10" s="65"/>
      <c r="I10" s="59"/>
      <c r="J10" s="34">
        <f>E10</f>
        <v>11269920.25625</v>
      </c>
      <c r="K10" s="34">
        <f>SUM(K7:K9)</f>
        <v>4507968.4249999998</v>
      </c>
      <c r="L10" s="34">
        <f>J10-K10</f>
        <v>6761951.8312499998</v>
      </c>
      <c r="M10" s="34"/>
    </row>
    <row r="11" spans="1:13" x14ac:dyDescent="0.25">
      <c r="A11" s="1" t="s">
        <v>19</v>
      </c>
      <c r="B11" s="15" t="s">
        <v>81</v>
      </c>
      <c r="C11" s="16"/>
      <c r="D11" s="32"/>
      <c r="E11" s="35"/>
      <c r="F11" s="35"/>
      <c r="G11" s="65"/>
      <c r="I11" s="35"/>
      <c r="J11" s="35"/>
      <c r="K11" s="35"/>
      <c r="L11" s="35"/>
      <c r="M11" s="35"/>
    </row>
    <row r="12" spans="1:13" x14ac:dyDescent="0.25">
      <c r="A12" s="1" t="s">
        <v>20</v>
      </c>
      <c r="B12" t="s">
        <v>44</v>
      </c>
      <c r="C12" s="16">
        <v>0.01</v>
      </c>
      <c r="D12" s="32">
        <f t="shared" ref="D12:D18" si="0">+$E$5*C12</f>
        <v>419345.87</v>
      </c>
      <c r="E12" s="35"/>
      <c r="F12" s="35"/>
      <c r="G12" s="65">
        <v>157</v>
      </c>
      <c r="H12" s="2">
        <v>40274</v>
      </c>
      <c r="I12" s="59">
        <v>40283</v>
      </c>
      <c r="J12" s="35">
        <f>D12</f>
        <v>419345.87</v>
      </c>
      <c r="K12" s="35"/>
      <c r="L12" s="35"/>
    </row>
    <row r="13" spans="1:13" x14ac:dyDescent="0.25">
      <c r="B13" t="s">
        <v>45</v>
      </c>
      <c r="C13" s="16">
        <v>0.02</v>
      </c>
      <c r="D13" s="32">
        <f t="shared" si="0"/>
        <v>838691.74</v>
      </c>
      <c r="E13" s="35"/>
      <c r="F13" s="35"/>
      <c r="G13" s="65">
        <v>157</v>
      </c>
      <c r="H13" s="2">
        <v>40274</v>
      </c>
      <c r="I13" s="59">
        <v>40283</v>
      </c>
      <c r="J13" s="35">
        <f t="shared" ref="J13:J18" si="1">D13</f>
        <v>838691.74</v>
      </c>
      <c r="K13" s="35"/>
      <c r="L13" s="35"/>
      <c r="M13" s="35"/>
    </row>
    <row r="14" spans="1:13" x14ac:dyDescent="0.25">
      <c r="B14" t="s">
        <v>46</v>
      </c>
      <c r="C14" s="16">
        <v>0.02</v>
      </c>
      <c r="D14" s="32">
        <f t="shared" si="0"/>
        <v>838691.74</v>
      </c>
      <c r="E14" s="35"/>
      <c r="F14" s="35"/>
      <c r="G14" s="65">
        <v>157</v>
      </c>
      <c r="H14" s="2">
        <v>40274</v>
      </c>
      <c r="I14" s="59">
        <v>40283</v>
      </c>
      <c r="J14" s="35">
        <f t="shared" si="1"/>
        <v>838691.74</v>
      </c>
      <c r="K14" s="35"/>
      <c r="L14" s="35"/>
      <c r="M14" s="35"/>
    </row>
    <row r="15" spans="1:13" x14ac:dyDescent="0.25">
      <c r="B15" t="s">
        <v>47</v>
      </c>
      <c r="C15" s="16">
        <v>0.01</v>
      </c>
      <c r="D15" s="32">
        <f t="shared" si="0"/>
        <v>419345.87</v>
      </c>
      <c r="E15" s="35"/>
      <c r="F15" s="35"/>
      <c r="G15" s="65">
        <v>157</v>
      </c>
      <c r="H15" s="2">
        <v>40274</v>
      </c>
      <c r="I15" s="59">
        <v>40283</v>
      </c>
      <c r="J15" s="35">
        <f t="shared" si="1"/>
        <v>419345.87</v>
      </c>
      <c r="K15" s="35"/>
      <c r="L15" s="35"/>
      <c r="M15" s="35"/>
    </row>
    <row r="16" spans="1:13" x14ac:dyDescent="0.25">
      <c r="B16" t="s">
        <v>48</v>
      </c>
      <c r="C16" s="16">
        <v>0.01</v>
      </c>
      <c r="D16" s="32">
        <f t="shared" si="0"/>
        <v>419345.87</v>
      </c>
      <c r="E16" s="35"/>
      <c r="F16" s="35"/>
      <c r="G16" s="65">
        <v>157</v>
      </c>
      <c r="H16" s="2">
        <v>40274</v>
      </c>
      <c r="I16" s="59">
        <v>40283</v>
      </c>
      <c r="J16" s="35">
        <f t="shared" si="1"/>
        <v>419345.87</v>
      </c>
      <c r="K16" s="35"/>
      <c r="L16" s="35"/>
      <c r="M16" s="35"/>
    </row>
    <row r="17" spans="1:13" x14ac:dyDescent="0.25">
      <c r="B17" t="s">
        <v>49</v>
      </c>
      <c r="C17" s="16">
        <v>0.01</v>
      </c>
      <c r="D17" s="32">
        <f t="shared" si="0"/>
        <v>419345.87</v>
      </c>
      <c r="E17" s="35"/>
      <c r="F17" s="35"/>
      <c r="G17" s="65">
        <v>157</v>
      </c>
      <c r="H17" s="2">
        <v>40274</v>
      </c>
      <c r="I17" s="59">
        <v>40283</v>
      </c>
      <c r="J17" s="35">
        <f t="shared" si="1"/>
        <v>419345.87</v>
      </c>
      <c r="K17" s="35"/>
      <c r="L17" s="35"/>
      <c r="M17" s="35"/>
    </row>
    <row r="18" spans="1:13" x14ac:dyDescent="0.25">
      <c r="B18" t="s">
        <v>121</v>
      </c>
      <c r="C18" s="16">
        <v>0.02</v>
      </c>
      <c r="D18" s="32">
        <f t="shared" si="0"/>
        <v>838691.74</v>
      </c>
      <c r="E18" s="35"/>
      <c r="F18" s="35"/>
      <c r="G18" s="65">
        <v>157</v>
      </c>
      <c r="H18" s="2">
        <v>40274</v>
      </c>
      <c r="I18" s="59">
        <v>40283</v>
      </c>
      <c r="J18" s="35">
        <f t="shared" si="1"/>
        <v>838691.74</v>
      </c>
      <c r="K18" s="35"/>
      <c r="L18" s="35"/>
    </row>
    <row r="19" spans="1:13" x14ac:dyDescent="0.25">
      <c r="B19" s="1" t="s">
        <v>22</v>
      </c>
      <c r="C19" s="16"/>
      <c r="D19" s="32"/>
      <c r="E19" s="33">
        <f>SUM(D12:D18)</f>
        <v>4193458.7</v>
      </c>
      <c r="F19" s="38"/>
      <c r="G19" s="65"/>
      <c r="H19" s="2">
        <v>40274</v>
      </c>
      <c r="I19" s="59">
        <v>40283</v>
      </c>
      <c r="J19" s="33">
        <f>SUM(J12:J18)</f>
        <v>4193458.7</v>
      </c>
      <c r="K19" s="33">
        <f>'[1]LA RAISA'!$C$4</f>
        <v>10483646.75</v>
      </c>
      <c r="L19" s="33">
        <f>J19-K19</f>
        <v>-6290188.0499999998</v>
      </c>
      <c r="M19" s="35"/>
    </row>
    <row r="20" spans="1:13" x14ac:dyDescent="0.25">
      <c r="B20" s="1"/>
      <c r="C20" s="16"/>
      <c r="D20" s="70" t="s">
        <v>201</v>
      </c>
      <c r="E20" s="34">
        <f>E19*12%</f>
        <v>503215.04399999999</v>
      </c>
      <c r="F20" s="38"/>
      <c r="G20" s="65"/>
      <c r="I20" s="35"/>
      <c r="J20" s="34">
        <f>E20</f>
        <v>503215.04399999999</v>
      </c>
      <c r="K20" s="34">
        <f>K19*12%</f>
        <v>1258037.6099999999</v>
      </c>
      <c r="L20" s="34">
        <f>J20-K20</f>
        <v>-754822.56599999988</v>
      </c>
      <c r="M20" s="34"/>
    </row>
    <row r="21" spans="1:13" x14ac:dyDescent="0.25">
      <c r="B21" s="1"/>
      <c r="C21" s="16"/>
      <c r="D21" s="70" t="s">
        <v>202</v>
      </c>
      <c r="E21" s="72">
        <f>-E19*4.5%</f>
        <v>-188705.6415</v>
      </c>
      <c r="F21" s="38"/>
      <c r="G21" s="65"/>
      <c r="I21" s="35"/>
      <c r="J21" s="72">
        <f>E21</f>
        <v>-188705.6415</v>
      </c>
      <c r="K21" s="72">
        <f>-K19*4.5%</f>
        <v>-471764.10375000001</v>
      </c>
      <c r="L21" s="72">
        <f>J21-K21</f>
        <v>283058.46224999998</v>
      </c>
      <c r="M21" s="72"/>
    </row>
    <row r="22" spans="1:13" x14ac:dyDescent="0.25">
      <c r="B22" s="1"/>
      <c r="C22" s="16"/>
      <c r="D22" s="70" t="s">
        <v>41</v>
      </c>
      <c r="E22" s="34">
        <f>SUM(E19:E21)</f>
        <v>4507968.1025</v>
      </c>
      <c r="F22" s="38"/>
      <c r="G22" s="65"/>
      <c r="I22" s="35"/>
      <c r="J22" s="34">
        <f>E22</f>
        <v>4507968.1025</v>
      </c>
      <c r="K22" s="34">
        <f>SUM(K19:K21)</f>
        <v>11269920.25625</v>
      </c>
      <c r="L22" s="34">
        <f>J22-K22</f>
        <v>-6761952.1537499996</v>
      </c>
      <c r="M22" s="34"/>
    </row>
    <row r="23" spans="1:13" x14ac:dyDescent="0.25">
      <c r="B23" s="15" t="s">
        <v>24</v>
      </c>
      <c r="C23" s="15"/>
      <c r="D23" s="37"/>
      <c r="E23" s="38"/>
      <c r="F23" s="38"/>
      <c r="G23" s="65"/>
      <c r="I23" s="35"/>
      <c r="J23" s="38"/>
      <c r="K23" s="38"/>
      <c r="L23" s="38"/>
      <c r="M23" s="35"/>
    </row>
    <row r="24" spans="1:13" x14ac:dyDescent="0.25">
      <c r="A24" s="1" t="s">
        <v>23</v>
      </c>
      <c r="B24" s="15" t="s">
        <v>25</v>
      </c>
      <c r="C24" s="16">
        <v>0.05</v>
      </c>
      <c r="D24" s="32">
        <f>+$E$5*C24</f>
        <v>2096729.35</v>
      </c>
      <c r="E24" s="33">
        <f>+D24</f>
        <v>2096729.35</v>
      </c>
      <c r="F24" s="38"/>
      <c r="G24" s="65">
        <v>158</v>
      </c>
      <c r="H24" s="2">
        <v>40274</v>
      </c>
      <c r="I24" t="s">
        <v>307</v>
      </c>
      <c r="J24" s="33">
        <f>E24</f>
        <v>2096729.35</v>
      </c>
      <c r="K24" s="33">
        <f>J24</f>
        <v>2096729.35</v>
      </c>
      <c r="L24" s="33">
        <f>J24-K24</f>
        <v>0</v>
      </c>
      <c r="M24" s="35"/>
    </row>
    <row r="25" spans="1:13" x14ac:dyDescent="0.25">
      <c r="A25" s="1"/>
      <c r="B25" s="15"/>
      <c r="C25" s="16"/>
      <c r="D25" s="70" t="s">
        <v>201</v>
      </c>
      <c r="E25" s="34">
        <f>E24*12%</f>
        <v>251607.522</v>
      </c>
      <c r="F25" s="38"/>
      <c r="G25" s="65"/>
      <c r="J25" s="34">
        <f>J24*12%</f>
        <v>251607.522</v>
      </c>
      <c r="K25" s="34">
        <f>K24*12%</f>
        <v>251607.522</v>
      </c>
      <c r="L25" s="34">
        <f>J25-K25</f>
        <v>0</v>
      </c>
      <c r="M25" s="35"/>
    </row>
    <row r="26" spans="1:13" x14ac:dyDescent="0.25">
      <c r="A26" s="1"/>
      <c r="B26" s="15"/>
      <c r="C26" s="16"/>
      <c r="D26" s="70" t="s">
        <v>202</v>
      </c>
      <c r="E26" s="72">
        <f>-E24*4.5%</f>
        <v>-94352.820749999999</v>
      </c>
      <c r="F26" s="38"/>
      <c r="G26" s="65"/>
      <c r="J26" s="72">
        <f>-J24*4.5%</f>
        <v>-94352.820749999999</v>
      </c>
      <c r="K26" s="72">
        <f>-K24*4.5%</f>
        <v>-94352.820749999999</v>
      </c>
      <c r="L26" s="72">
        <f>J26-K26</f>
        <v>0</v>
      </c>
      <c r="M26" s="35"/>
    </row>
    <row r="27" spans="1:13" x14ac:dyDescent="0.25">
      <c r="A27" s="1"/>
      <c r="B27" s="15"/>
      <c r="C27" s="16"/>
      <c r="D27" s="70" t="s">
        <v>41</v>
      </c>
      <c r="E27" s="34">
        <f>SUM(E24:E26)</f>
        <v>2253984.05125</v>
      </c>
      <c r="F27" s="38"/>
      <c r="G27" s="65"/>
      <c r="J27" s="34">
        <f>SUM(J24:J26)</f>
        <v>2253984.05125</v>
      </c>
      <c r="K27" s="34">
        <f>SUM(K24:K26)</f>
        <v>2253984.05125</v>
      </c>
      <c r="L27" s="34">
        <f>J27-K27</f>
        <v>0</v>
      </c>
      <c r="M27" s="35"/>
    </row>
    <row r="28" spans="1:13" x14ac:dyDescent="0.25">
      <c r="A28" s="1"/>
      <c r="B28" s="15" t="s">
        <v>82</v>
      </c>
      <c r="C28" s="16"/>
      <c r="D28" s="32"/>
      <c r="E28" s="35"/>
      <c r="F28" s="35"/>
      <c r="G28" s="65"/>
      <c r="J28" s="35"/>
      <c r="K28" s="35"/>
      <c r="L28" s="35"/>
      <c r="M28" s="35"/>
    </row>
    <row r="29" spans="1:13" x14ac:dyDescent="0.25">
      <c r="A29" s="1" t="s">
        <v>26</v>
      </c>
      <c r="B29" s="16" t="s">
        <v>83</v>
      </c>
      <c r="C29" s="16">
        <v>0.1</v>
      </c>
      <c r="D29" s="32">
        <f>+$E$5*C29</f>
        <v>4193458.7</v>
      </c>
      <c r="E29" s="35"/>
      <c r="F29" s="35"/>
      <c r="G29" s="65">
        <v>159</v>
      </c>
      <c r="H29" s="2">
        <v>40274</v>
      </c>
      <c r="I29" s="2"/>
      <c r="J29" s="35">
        <f>D29</f>
        <v>4193458.7</v>
      </c>
      <c r="K29" s="35"/>
      <c r="L29" s="35"/>
      <c r="M29" s="35"/>
    </row>
    <row r="30" spans="1:13" x14ac:dyDescent="0.25">
      <c r="B30" s="16" t="s">
        <v>84</v>
      </c>
      <c r="C30" s="16">
        <v>0.05</v>
      </c>
      <c r="D30" s="32">
        <f>+$E$5*C30</f>
        <v>2096729.35</v>
      </c>
      <c r="E30" s="35"/>
      <c r="F30" s="35"/>
      <c r="G30" s="65">
        <v>159</v>
      </c>
      <c r="H30" s="2">
        <v>40274</v>
      </c>
      <c r="I30" s="2"/>
      <c r="J30" s="35">
        <f>D30</f>
        <v>2096729.35</v>
      </c>
      <c r="K30" s="35"/>
      <c r="L30" s="35"/>
      <c r="M30" s="35"/>
    </row>
    <row r="31" spans="1:13" x14ac:dyDescent="0.25">
      <c r="B31" s="19" t="s">
        <v>28</v>
      </c>
      <c r="C31" s="15"/>
      <c r="D31" s="37"/>
      <c r="E31" s="33">
        <f>SUM(D29:D30)</f>
        <v>6290188.0500000007</v>
      </c>
      <c r="F31" s="38"/>
      <c r="G31" s="65"/>
      <c r="H31" s="2">
        <v>40275</v>
      </c>
      <c r="I31" s="2">
        <v>43979</v>
      </c>
      <c r="J31" s="33">
        <f>SUM(J29:J30)</f>
        <v>6290188.0500000007</v>
      </c>
      <c r="K31" s="33">
        <v>6290188.0500000007</v>
      </c>
      <c r="L31" s="33">
        <f>J31-K31</f>
        <v>0</v>
      </c>
      <c r="M31" s="35"/>
    </row>
    <row r="32" spans="1:13" x14ac:dyDescent="0.25">
      <c r="B32" s="19"/>
      <c r="C32" s="15"/>
      <c r="D32" s="70" t="s">
        <v>201</v>
      </c>
      <c r="E32" s="34">
        <f>E31*12%</f>
        <v>754822.56600000011</v>
      </c>
      <c r="F32" s="38"/>
      <c r="G32" s="65"/>
      <c r="J32" s="34">
        <f>E32</f>
        <v>754822.56600000011</v>
      </c>
      <c r="K32" s="34">
        <f>J32</f>
        <v>754822.56600000011</v>
      </c>
      <c r="L32" s="34">
        <f>J32-K32</f>
        <v>0</v>
      </c>
      <c r="M32" s="35"/>
    </row>
    <row r="33" spans="1:13" x14ac:dyDescent="0.25">
      <c r="B33" s="19"/>
      <c r="C33" s="15"/>
      <c r="D33" s="70" t="s">
        <v>202</v>
      </c>
      <c r="E33" s="72">
        <f>-E31*4.5%</f>
        <v>-283058.46225000004</v>
      </c>
      <c r="F33" s="38"/>
      <c r="G33" s="65"/>
      <c r="J33" s="72">
        <f>E33</f>
        <v>-283058.46225000004</v>
      </c>
      <c r="K33" s="72">
        <f>J33</f>
        <v>-283058.46225000004</v>
      </c>
      <c r="L33" s="72">
        <f>J33-K33</f>
        <v>0</v>
      </c>
      <c r="M33" s="35"/>
    </row>
    <row r="34" spans="1:13" x14ac:dyDescent="0.25">
      <c r="B34" s="19"/>
      <c r="C34" s="15"/>
      <c r="D34" s="70" t="s">
        <v>41</v>
      </c>
      <c r="E34" s="34">
        <f>SUM(E31:E33)</f>
        <v>6761952.1537500005</v>
      </c>
      <c r="F34" s="38"/>
      <c r="G34" s="65"/>
      <c r="J34" s="34">
        <f>E34</f>
        <v>6761952.1537500005</v>
      </c>
      <c r="K34" s="34">
        <f>J34</f>
        <v>6761952.1537500005</v>
      </c>
      <c r="L34" s="34">
        <f>J34-K34</f>
        <v>0</v>
      </c>
      <c r="M34" s="35"/>
    </row>
    <row r="35" spans="1:13" x14ac:dyDescent="0.25">
      <c r="B35" s="20" t="s">
        <v>85</v>
      </c>
      <c r="C35" s="16"/>
      <c r="D35" s="35"/>
      <c r="E35" s="35"/>
      <c r="F35" s="35"/>
      <c r="G35" s="65"/>
      <c r="J35" s="35"/>
      <c r="K35" s="35"/>
      <c r="L35" s="35"/>
      <c r="M35" s="35"/>
    </row>
    <row r="36" spans="1:13" x14ac:dyDescent="0.25">
      <c r="A36" s="1" t="s">
        <v>29</v>
      </c>
      <c r="B36" s="13" t="s">
        <v>86</v>
      </c>
      <c r="C36" s="16">
        <v>0.03</v>
      </c>
      <c r="D36" s="32">
        <f>+$E$5*C36</f>
        <v>1258037.6099999999</v>
      </c>
      <c r="E36" s="35"/>
      <c r="F36" s="35"/>
      <c r="G36" s="65">
        <v>161</v>
      </c>
      <c r="H36" s="2">
        <v>40311</v>
      </c>
      <c r="J36" s="35">
        <f t="shared" ref="J36:J41" si="2">D36</f>
        <v>1258037.6099999999</v>
      </c>
      <c r="K36" s="35"/>
      <c r="L36" s="35"/>
      <c r="M36" s="35"/>
    </row>
    <row r="37" spans="1:13" x14ac:dyDescent="0.25">
      <c r="B37" s="13" t="s">
        <v>87</v>
      </c>
      <c r="C37" s="16">
        <v>0.03</v>
      </c>
      <c r="D37" s="32">
        <f>+$E$5*C37</f>
        <v>1258037.6099999999</v>
      </c>
      <c r="E37" s="35"/>
      <c r="F37" s="35"/>
      <c r="G37" s="65">
        <v>161</v>
      </c>
      <c r="H37" s="2">
        <v>40311</v>
      </c>
      <c r="J37" s="35">
        <f t="shared" si="2"/>
        <v>1258037.6099999999</v>
      </c>
      <c r="K37" s="35"/>
      <c r="L37" s="35"/>
      <c r="M37" s="35"/>
    </row>
    <row r="38" spans="1:13" x14ac:dyDescent="0.25">
      <c r="B38" s="13" t="s">
        <v>88</v>
      </c>
      <c r="C38" s="16">
        <v>0.03</v>
      </c>
      <c r="D38" s="32">
        <f>+$E$5*C38</f>
        <v>1258037.6099999999</v>
      </c>
      <c r="E38" s="35"/>
      <c r="F38" s="35"/>
      <c r="G38" s="65">
        <v>161</v>
      </c>
      <c r="H38" s="2">
        <v>40311</v>
      </c>
      <c r="J38" s="35">
        <f t="shared" si="2"/>
        <v>1258037.6099999999</v>
      </c>
      <c r="K38" s="35"/>
      <c r="L38" s="35"/>
      <c r="M38" s="35"/>
    </row>
    <row r="39" spans="1:13" x14ac:dyDescent="0.25">
      <c r="B39" s="13" t="s">
        <v>89</v>
      </c>
      <c r="C39" s="16">
        <v>0.03</v>
      </c>
      <c r="D39" s="32">
        <f>+$E$5*C39</f>
        <v>1258037.6099999999</v>
      </c>
      <c r="E39" s="35"/>
      <c r="F39" s="35"/>
      <c r="G39" s="65">
        <v>161</v>
      </c>
      <c r="H39" s="2">
        <v>40311</v>
      </c>
      <c r="J39" s="35">
        <f t="shared" si="2"/>
        <v>1258037.6099999999</v>
      </c>
      <c r="K39" s="35"/>
      <c r="L39" s="35"/>
      <c r="M39" s="35"/>
    </row>
    <row r="40" spans="1:13" x14ac:dyDescent="0.25">
      <c r="B40" s="20" t="s">
        <v>90</v>
      </c>
      <c r="C40" s="16"/>
      <c r="D40" s="32"/>
      <c r="E40" s="35"/>
      <c r="F40" s="35"/>
      <c r="G40" s="35"/>
      <c r="J40" s="35">
        <f t="shared" si="2"/>
        <v>0</v>
      </c>
      <c r="K40" s="35"/>
      <c r="L40" s="35"/>
      <c r="M40" s="35"/>
    </row>
    <row r="41" spans="1:13" x14ac:dyDescent="0.25">
      <c r="B41" s="13" t="s">
        <v>91</v>
      </c>
      <c r="C41" s="16">
        <v>0.03</v>
      </c>
      <c r="D41" s="32">
        <f>+$E$5*C41</f>
        <v>1258037.6099999999</v>
      </c>
      <c r="E41" s="35"/>
      <c r="F41" s="35"/>
      <c r="G41" s="18">
        <v>161</v>
      </c>
      <c r="H41" s="2">
        <v>40311</v>
      </c>
      <c r="I41" s="2"/>
      <c r="J41" s="35">
        <f t="shared" si="2"/>
        <v>1258037.6099999999</v>
      </c>
      <c r="K41" s="35"/>
      <c r="L41" s="35"/>
      <c r="M41" s="35"/>
    </row>
    <row r="42" spans="1:13" x14ac:dyDescent="0.25">
      <c r="B42" s="20" t="s">
        <v>31</v>
      </c>
      <c r="C42" s="15"/>
      <c r="D42" s="38"/>
      <c r="E42" s="33">
        <f>SUM(D36:D41)</f>
        <v>6290188.0499999989</v>
      </c>
      <c r="F42" s="38"/>
      <c r="G42" s="38"/>
      <c r="H42" s="2">
        <v>40311</v>
      </c>
      <c r="I42" s="2">
        <v>43979</v>
      </c>
      <c r="J42" s="33">
        <f>SUM(J36:J41)</f>
        <v>6290188.0499999989</v>
      </c>
      <c r="K42" s="33">
        <v>6290188.0499999989</v>
      </c>
      <c r="L42" s="33">
        <f>J42-K42</f>
        <v>0</v>
      </c>
      <c r="M42" s="35"/>
    </row>
    <row r="43" spans="1:13" x14ac:dyDescent="0.25">
      <c r="B43" s="20"/>
      <c r="C43" s="15"/>
      <c r="D43" s="70" t="s">
        <v>201</v>
      </c>
      <c r="E43" s="34">
        <f>E42*12%</f>
        <v>754822.56599999988</v>
      </c>
      <c r="F43" s="38"/>
      <c r="G43" s="38"/>
      <c r="I43" s="2"/>
      <c r="J43" s="34">
        <f>E43</f>
        <v>754822.56599999988</v>
      </c>
      <c r="K43" s="34">
        <f>J43</f>
        <v>754822.56599999988</v>
      </c>
      <c r="L43" s="34">
        <f>J43-K43</f>
        <v>0</v>
      </c>
      <c r="M43" s="35"/>
    </row>
    <row r="44" spans="1:13" x14ac:dyDescent="0.25">
      <c r="B44" s="20"/>
      <c r="C44" s="15"/>
      <c r="D44" s="70" t="s">
        <v>202</v>
      </c>
      <c r="E44" s="72">
        <f>-E42*4.5%</f>
        <v>-283058.46224999992</v>
      </c>
      <c r="F44" s="38"/>
      <c r="G44" s="38"/>
      <c r="J44" s="72">
        <f>E44</f>
        <v>-283058.46224999992</v>
      </c>
      <c r="K44" s="72">
        <f>J44</f>
        <v>-283058.46224999992</v>
      </c>
      <c r="L44" s="72">
        <f>J44-K44</f>
        <v>0</v>
      </c>
      <c r="M44" s="35"/>
    </row>
    <row r="45" spans="1:13" x14ac:dyDescent="0.25">
      <c r="B45" s="20"/>
      <c r="C45" s="15"/>
      <c r="D45" s="70" t="s">
        <v>41</v>
      </c>
      <c r="E45" s="34">
        <f>SUM(E42:E44)</f>
        <v>6761952.1537499987</v>
      </c>
      <c r="F45" s="38"/>
      <c r="G45" s="38"/>
      <c r="J45" s="34">
        <f>E45</f>
        <v>6761952.1537499987</v>
      </c>
      <c r="K45" s="34">
        <f>J45</f>
        <v>6761952.1537499987</v>
      </c>
      <c r="L45" s="34">
        <f>J45-K45</f>
        <v>0</v>
      </c>
      <c r="M45" s="35"/>
    </row>
    <row r="46" spans="1:13" x14ac:dyDescent="0.25">
      <c r="B46" s="20" t="s">
        <v>92</v>
      </c>
      <c r="C46" s="16"/>
      <c r="D46" s="35"/>
      <c r="E46" s="35"/>
      <c r="F46" s="35"/>
      <c r="G46" s="35"/>
      <c r="J46" s="35"/>
      <c r="K46" s="35"/>
      <c r="L46" s="35"/>
      <c r="M46" s="35"/>
    </row>
    <row r="47" spans="1:13" x14ac:dyDescent="0.25">
      <c r="A47" s="1" t="s">
        <v>32</v>
      </c>
      <c r="B47" s="13" t="s">
        <v>93</v>
      </c>
      <c r="C47" s="16">
        <v>0.02</v>
      </c>
      <c r="D47" s="32">
        <f>+$E$5*C47</f>
        <v>838691.74</v>
      </c>
      <c r="E47" s="35"/>
      <c r="F47" s="35"/>
      <c r="G47" s="18">
        <v>162</v>
      </c>
      <c r="H47" s="2">
        <v>40311</v>
      </c>
      <c r="J47" s="35">
        <f>D47</f>
        <v>838691.74</v>
      </c>
      <c r="K47" s="35"/>
      <c r="L47" s="35"/>
      <c r="M47" s="35"/>
    </row>
    <row r="48" spans="1:13" x14ac:dyDescent="0.25">
      <c r="B48" s="13" t="s">
        <v>94</v>
      </c>
      <c r="C48" s="16">
        <v>0.02</v>
      </c>
      <c r="D48" s="32">
        <f>+$E$5*C48</f>
        <v>838691.74</v>
      </c>
      <c r="E48" s="35"/>
      <c r="F48" s="35"/>
      <c r="G48" s="18">
        <v>162</v>
      </c>
      <c r="H48" s="2">
        <v>40311</v>
      </c>
      <c r="J48" s="35">
        <f>D48</f>
        <v>838691.74</v>
      </c>
      <c r="K48" s="35"/>
      <c r="L48" s="35"/>
      <c r="M48" s="35"/>
    </row>
    <row r="49" spans="2:13" x14ac:dyDescent="0.25">
      <c r="B49" s="13" t="s">
        <v>95</v>
      </c>
      <c r="C49" s="16">
        <v>0.02</v>
      </c>
      <c r="D49" s="32">
        <f>+$E$5*C49</f>
        <v>838691.74</v>
      </c>
      <c r="E49" s="35"/>
      <c r="F49" s="35"/>
      <c r="G49" s="18">
        <v>162</v>
      </c>
      <c r="H49" s="2">
        <v>40311</v>
      </c>
      <c r="J49" s="35">
        <f>D49</f>
        <v>838691.74</v>
      </c>
      <c r="K49" s="35"/>
      <c r="L49" s="35"/>
      <c r="M49" s="35"/>
    </row>
    <row r="50" spans="2:13" x14ac:dyDescent="0.25">
      <c r="B50" s="13" t="s">
        <v>96</v>
      </c>
      <c r="C50" s="16">
        <v>0.02</v>
      </c>
      <c r="D50" s="32">
        <f>+$E$5*C50</f>
        <v>838691.74</v>
      </c>
      <c r="E50" s="35"/>
      <c r="F50" s="35"/>
      <c r="G50" s="18">
        <v>162</v>
      </c>
      <c r="H50" s="2">
        <v>40311</v>
      </c>
      <c r="J50" s="35">
        <f>D50</f>
        <v>838691.74</v>
      </c>
      <c r="K50" s="35"/>
      <c r="L50" s="35"/>
      <c r="M50" s="35"/>
    </row>
    <row r="51" spans="2:13" x14ac:dyDescent="0.25">
      <c r="B51" s="20" t="s">
        <v>33</v>
      </c>
      <c r="C51" s="16"/>
      <c r="D51" s="35"/>
      <c r="E51" s="35"/>
      <c r="F51" s="35"/>
      <c r="G51" s="35"/>
      <c r="J51" s="35"/>
      <c r="K51" s="35"/>
      <c r="L51" s="35"/>
      <c r="M51" s="35"/>
    </row>
    <row r="52" spans="2:13" x14ac:dyDescent="0.25">
      <c r="B52" s="13" t="s">
        <v>97</v>
      </c>
      <c r="C52" s="16">
        <v>0.01</v>
      </c>
      <c r="D52" s="32">
        <f>+$E$5*C52</f>
        <v>419345.87</v>
      </c>
      <c r="E52" s="35"/>
      <c r="F52" s="35"/>
      <c r="G52" s="18">
        <v>162</v>
      </c>
      <c r="H52" s="2">
        <v>40311</v>
      </c>
      <c r="J52" s="35">
        <f>D52</f>
        <v>419345.87</v>
      </c>
      <c r="K52" s="35"/>
      <c r="L52" s="35"/>
      <c r="M52" s="35"/>
    </row>
    <row r="53" spans="2:13" x14ac:dyDescent="0.25">
      <c r="B53" s="20" t="s">
        <v>98</v>
      </c>
      <c r="C53" s="16"/>
      <c r="D53" s="35"/>
      <c r="E53" s="35"/>
      <c r="F53" s="35"/>
      <c r="G53" s="35"/>
      <c r="J53" s="35"/>
      <c r="K53" s="35"/>
      <c r="L53" s="35"/>
      <c r="M53" s="35"/>
    </row>
    <row r="54" spans="2:13" x14ac:dyDescent="0.25">
      <c r="B54" s="13" t="s">
        <v>99</v>
      </c>
      <c r="C54" s="16">
        <v>0.01</v>
      </c>
      <c r="D54" s="32">
        <f t="shared" ref="D54:D59" si="3">+$E$5*C54</f>
        <v>419345.87</v>
      </c>
      <c r="E54" s="35"/>
      <c r="F54" s="35"/>
      <c r="G54" s="18">
        <v>162</v>
      </c>
      <c r="H54" s="2">
        <v>40311</v>
      </c>
      <c r="J54" s="35">
        <f t="shared" ref="J54:J59" si="4">D54</f>
        <v>419345.87</v>
      </c>
      <c r="K54" s="35"/>
      <c r="L54" s="35"/>
      <c r="M54" s="35"/>
    </row>
    <row r="55" spans="2:13" x14ac:dyDescent="0.25">
      <c r="B55" s="13" t="s">
        <v>100</v>
      </c>
      <c r="C55" s="16">
        <v>0.01</v>
      </c>
      <c r="D55" s="32">
        <f t="shared" si="3"/>
        <v>419345.87</v>
      </c>
      <c r="E55" s="35"/>
      <c r="F55" s="35"/>
      <c r="G55" s="18">
        <v>162</v>
      </c>
      <c r="H55" s="2">
        <v>40311</v>
      </c>
      <c r="J55" s="35">
        <f t="shared" si="4"/>
        <v>419345.87</v>
      </c>
      <c r="K55" s="35"/>
      <c r="L55" s="35"/>
      <c r="M55" s="35"/>
    </row>
    <row r="56" spans="2:13" x14ac:dyDescent="0.25">
      <c r="B56" s="13" t="s">
        <v>101</v>
      </c>
      <c r="C56" s="16">
        <v>0.01</v>
      </c>
      <c r="D56" s="32">
        <f t="shared" si="3"/>
        <v>419345.87</v>
      </c>
      <c r="E56" s="35"/>
      <c r="F56" s="35"/>
      <c r="G56" s="18">
        <v>162</v>
      </c>
      <c r="H56" s="2">
        <v>40311</v>
      </c>
      <c r="J56" s="35">
        <f t="shared" si="4"/>
        <v>419345.87</v>
      </c>
      <c r="K56" s="35"/>
      <c r="L56" s="35"/>
      <c r="M56" s="35"/>
    </row>
    <row r="57" spans="2:13" x14ac:dyDescent="0.25">
      <c r="B57" s="13" t="s">
        <v>102</v>
      </c>
      <c r="C57" s="16">
        <v>0.01</v>
      </c>
      <c r="D57" s="32">
        <f t="shared" si="3"/>
        <v>419345.87</v>
      </c>
      <c r="E57" s="35"/>
      <c r="F57" s="35"/>
      <c r="G57" s="18">
        <v>162</v>
      </c>
      <c r="H57" s="2">
        <v>40311</v>
      </c>
      <c r="J57" s="35">
        <f t="shared" si="4"/>
        <v>419345.87</v>
      </c>
      <c r="K57" s="35"/>
      <c r="L57" s="35"/>
      <c r="M57" s="35"/>
    </row>
    <row r="58" spans="2:13" x14ac:dyDescent="0.25">
      <c r="B58" s="13" t="s">
        <v>103</v>
      </c>
      <c r="C58" s="16">
        <v>0.01</v>
      </c>
      <c r="D58" s="32">
        <f t="shared" si="3"/>
        <v>419345.87</v>
      </c>
      <c r="E58" s="35"/>
      <c r="F58" s="35"/>
      <c r="G58" s="18">
        <v>162</v>
      </c>
      <c r="H58" s="2">
        <v>40311</v>
      </c>
      <c r="J58" s="35">
        <f t="shared" si="4"/>
        <v>419345.87</v>
      </c>
      <c r="K58" s="35"/>
      <c r="L58" s="35"/>
      <c r="M58" s="35"/>
    </row>
    <row r="59" spans="2:13" x14ac:dyDescent="0.25">
      <c r="B59" s="13" t="s">
        <v>104</v>
      </c>
      <c r="C59" s="16">
        <v>0.01</v>
      </c>
      <c r="D59" s="32">
        <f t="shared" si="3"/>
        <v>419345.87</v>
      </c>
      <c r="E59" s="35"/>
      <c r="F59" s="35"/>
      <c r="G59" s="18">
        <v>162</v>
      </c>
      <c r="H59" s="2">
        <v>40311</v>
      </c>
      <c r="J59" s="35">
        <f t="shared" si="4"/>
        <v>419345.87</v>
      </c>
      <c r="K59" s="35"/>
      <c r="L59" s="35"/>
      <c r="M59" s="35"/>
    </row>
    <row r="60" spans="2:13" x14ac:dyDescent="0.25">
      <c r="B60" s="20" t="s">
        <v>34</v>
      </c>
      <c r="C60" s="16"/>
      <c r="D60" s="35"/>
      <c r="E60" s="33">
        <f>SUM(D47:D59)</f>
        <v>6290188.0500000007</v>
      </c>
      <c r="F60" s="38"/>
      <c r="G60" s="38"/>
      <c r="H60" s="2">
        <v>40311</v>
      </c>
      <c r="J60" s="33">
        <f>SUM(J47:J59)</f>
        <v>6290188.0500000007</v>
      </c>
      <c r="K60" s="33">
        <v>0</v>
      </c>
      <c r="L60" s="33">
        <f>J60-K60</f>
        <v>6290188.0500000007</v>
      </c>
      <c r="M60" s="35"/>
    </row>
    <row r="61" spans="2:13" x14ac:dyDescent="0.25">
      <c r="B61" s="20"/>
      <c r="C61" s="16"/>
      <c r="D61" s="70" t="s">
        <v>201</v>
      </c>
      <c r="E61" s="34">
        <f>E60*12%</f>
        <v>754822.56600000011</v>
      </c>
      <c r="F61" s="38"/>
      <c r="G61" s="38"/>
      <c r="J61" s="34">
        <f>E61</f>
        <v>754822.56600000011</v>
      </c>
      <c r="K61" s="34">
        <v>0</v>
      </c>
      <c r="L61" s="34">
        <f>J61-K61</f>
        <v>754822.56600000011</v>
      </c>
      <c r="M61" s="35"/>
    </row>
    <row r="62" spans="2:13" x14ac:dyDescent="0.25">
      <c r="B62" s="20"/>
      <c r="C62" s="16"/>
      <c r="D62" s="70" t="s">
        <v>202</v>
      </c>
      <c r="E62" s="72">
        <f>-E60*4.5%</f>
        <v>-283058.46225000004</v>
      </c>
      <c r="F62" s="38"/>
      <c r="G62" s="38"/>
      <c r="J62" s="72">
        <f>E62</f>
        <v>-283058.46225000004</v>
      </c>
      <c r="K62" s="72">
        <v>0</v>
      </c>
      <c r="L62" s="72">
        <f>J62-K62</f>
        <v>-283058.46225000004</v>
      </c>
      <c r="M62" s="35"/>
    </row>
    <row r="63" spans="2:13" x14ac:dyDescent="0.25">
      <c r="B63" s="20"/>
      <c r="C63" s="16"/>
      <c r="D63" s="70" t="s">
        <v>41</v>
      </c>
      <c r="E63" s="34">
        <f>SUM(E60:E62)</f>
        <v>6761952.1537500005</v>
      </c>
      <c r="F63" s="38"/>
      <c r="G63" s="38"/>
      <c r="J63" s="34">
        <f>E63</f>
        <v>6761952.1537500005</v>
      </c>
      <c r="K63" s="34">
        <v>0</v>
      </c>
      <c r="L63" s="34">
        <f>J63-K63</f>
        <v>6761952.1537500005</v>
      </c>
      <c r="M63" s="35" t="s">
        <v>165</v>
      </c>
    </row>
    <row r="64" spans="2:13" x14ac:dyDescent="0.25">
      <c r="B64" s="20" t="s">
        <v>105</v>
      </c>
      <c r="C64" s="16"/>
      <c r="D64" s="35"/>
      <c r="E64" s="35"/>
      <c r="F64" s="35"/>
      <c r="G64" s="35"/>
      <c r="J64" s="35"/>
      <c r="K64" s="35"/>
      <c r="L64" s="35"/>
      <c r="M64" s="35"/>
    </row>
    <row r="65" spans="1:13" ht="30" x14ac:dyDescent="0.25">
      <c r="A65" s="1" t="s">
        <v>35</v>
      </c>
      <c r="B65" s="21" t="s">
        <v>68</v>
      </c>
      <c r="C65" s="16">
        <v>0.03</v>
      </c>
      <c r="D65" s="32">
        <f>+$E$5*C65</f>
        <v>1258037.6099999999</v>
      </c>
      <c r="E65" s="35"/>
      <c r="F65" s="35"/>
      <c r="G65" s="18">
        <v>163</v>
      </c>
      <c r="H65" s="2">
        <v>40311</v>
      </c>
      <c r="J65" s="35">
        <f>D65</f>
        <v>1258037.6099999999</v>
      </c>
      <c r="K65" s="35"/>
      <c r="L65" s="35"/>
      <c r="M65" s="35"/>
    </row>
    <row r="66" spans="1:13" ht="30" x14ac:dyDescent="0.25">
      <c r="B66" s="21" t="s">
        <v>106</v>
      </c>
      <c r="C66" s="16">
        <v>0.01</v>
      </c>
      <c r="D66" s="32">
        <f>+$E$5*C66</f>
        <v>419345.87</v>
      </c>
      <c r="E66" s="35"/>
      <c r="F66" s="35"/>
      <c r="G66" s="18">
        <v>163</v>
      </c>
      <c r="H66" s="2">
        <v>40311</v>
      </c>
      <c r="J66" s="35">
        <f>D66</f>
        <v>419345.87</v>
      </c>
      <c r="K66" s="35"/>
      <c r="L66" s="35"/>
      <c r="M66" s="35"/>
    </row>
    <row r="67" spans="1:13" ht="30" x14ac:dyDescent="0.25">
      <c r="B67" s="21" t="s">
        <v>107</v>
      </c>
      <c r="C67" s="16">
        <v>0.01</v>
      </c>
      <c r="D67" s="32">
        <f>+$E$5*C67</f>
        <v>419345.87</v>
      </c>
      <c r="E67" s="35"/>
      <c r="F67" s="35"/>
      <c r="G67" s="18">
        <v>163</v>
      </c>
      <c r="H67" s="2">
        <v>40311</v>
      </c>
      <c r="J67" s="35">
        <f>D67</f>
        <v>419345.87</v>
      </c>
      <c r="K67" s="35"/>
      <c r="L67" s="35"/>
      <c r="M67" s="35"/>
    </row>
    <row r="68" spans="1:13" x14ac:dyDescent="0.25">
      <c r="B68" s="1" t="s">
        <v>37</v>
      </c>
      <c r="C68" s="16"/>
      <c r="D68" s="35"/>
      <c r="E68" s="33">
        <f>SUM(D65:D67)</f>
        <v>2096729.35</v>
      </c>
      <c r="F68" s="38"/>
      <c r="G68" s="38"/>
      <c r="H68" s="2">
        <v>40311</v>
      </c>
      <c r="J68" s="33">
        <f>SUM(J65:J67)</f>
        <v>2096729.35</v>
      </c>
      <c r="K68" s="33">
        <v>0</v>
      </c>
      <c r="L68" s="33">
        <f>J68-K68</f>
        <v>2096729.35</v>
      </c>
      <c r="M68" s="35"/>
    </row>
    <row r="69" spans="1:13" x14ac:dyDescent="0.25">
      <c r="B69" s="1"/>
      <c r="C69" s="16"/>
      <c r="D69" s="70" t="s">
        <v>201</v>
      </c>
      <c r="E69" s="34">
        <f>E68*12%</f>
        <v>251607.522</v>
      </c>
      <c r="F69" s="38"/>
      <c r="G69" s="38"/>
      <c r="J69" s="34">
        <f>E69</f>
        <v>251607.522</v>
      </c>
      <c r="K69" s="34">
        <v>0</v>
      </c>
      <c r="L69" s="34">
        <f>J69-K69</f>
        <v>251607.522</v>
      </c>
      <c r="M69" s="35"/>
    </row>
    <row r="70" spans="1:13" x14ac:dyDescent="0.25">
      <c r="B70" s="1"/>
      <c r="C70" s="16"/>
      <c r="D70" s="70" t="s">
        <v>202</v>
      </c>
      <c r="E70" s="72">
        <f>-E68*4.5%</f>
        <v>-94352.820749999999</v>
      </c>
      <c r="F70" s="38"/>
      <c r="G70" s="38"/>
      <c r="J70" s="72">
        <f>E70</f>
        <v>-94352.820749999999</v>
      </c>
      <c r="K70" s="72">
        <v>0</v>
      </c>
      <c r="L70" s="72">
        <f>J70-K70</f>
        <v>-94352.820749999999</v>
      </c>
      <c r="M70" s="35"/>
    </row>
    <row r="71" spans="1:13" x14ac:dyDescent="0.25">
      <c r="B71" s="1"/>
      <c r="C71" s="16"/>
      <c r="D71" s="70" t="s">
        <v>41</v>
      </c>
      <c r="E71" s="34">
        <f>SUM(E68:E70)</f>
        <v>2253984.05125</v>
      </c>
      <c r="F71" s="38"/>
      <c r="G71" s="38"/>
      <c r="J71" s="34">
        <f>E71</f>
        <v>2253984.05125</v>
      </c>
      <c r="K71" s="34">
        <v>0</v>
      </c>
      <c r="L71" s="34">
        <f>J71-K71</f>
        <v>2253984.05125</v>
      </c>
      <c r="M71" s="35" t="s">
        <v>165</v>
      </c>
    </row>
    <row r="72" spans="1:13" x14ac:dyDescent="0.25">
      <c r="B72" s="1" t="s">
        <v>92</v>
      </c>
      <c r="C72" s="16"/>
      <c r="D72" s="35"/>
      <c r="E72" s="35"/>
      <c r="F72" s="35"/>
      <c r="G72" s="35"/>
      <c r="J72" s="35"/>
      <c r="K72" s="35"/>
      <c r="L72" s="35"/>
      <c r="M72" s="35"/>
    </row>
    <row r="73" spans="1:13" x14ac:dyDescent="0.25">
      <c r="A73" s="1" t="s">
        <v>38</v>
      </c>
      <c r="B73" t="s">
        <v>108</v>
      </c>
      <c r="C73" s="16">
        <v>5.0000000000000001E-3</v>
      </c>
      <c r="D73" s="32">
        <f>+$E$5*C73</f>
        <v>209672.935</v>
      </c>
      <c r="E73" s="35"/>
      <c r="F73" s="35"/>
      <c r="G73" s="35"/>
      <c r="H73" s="112">
        <v>0</v>
      </c>
      <c r="J73" s="35"/>
      <c r="K73" s="35"/>
      <c r="L73" s="35"/>
      <c r="M73" s="35"/>
    </row>
    <row r="74" spans="1:13" x14ac:dyDescent="0.25">
      <c r="B74" t="s">
        <v>109</v>
      </c>
      <c r="C74" s="16">
        <v>5.0000000000000001E-3</v>
      </c>
      <c r="D74" s="32">
        <f>+$E$5*C74</f>
        <v>209672.935</v>
      </c>
      <c r="E74" s="35"/>
      <c r="F74" s="35"/>
      <c r="G74" s="35"/>
      <c r="J74" s="35"/>
      <c r="K74" s="35"/>
      <c r="L74" s="35"/>
      <c r="M74" s="35"/>
    </row>
    <row r="75" spans="1:13" x14ac:dyDescent="0.25">
      <c r="B75" s="1" t="s">
        <v>90</v>
      </c>
      <c r="C75" s="16"/>
      <c r="D75" s="35"/>
      <c r="E75" s="35"/>
      <c r="F75" s="35"/>
      <c r="G75" s="35"/>
      <c r="J75" s="35"/>
      <c r="K75" s="35"/>
      <c r="L75" s="35"/>
      <c r="M75" s="35"/>
    </row>
    <row r="76" spans="1:13" x14ac:dyDescent="0.25">
      <c r="B76" t="s">
        <v>110</v>
      </c>
      <c r="C76" s="16">
        <v>5.0000000000000001E-3</v>
      </c>
      <c r="D76" s="32">
        <f>+$E$5*C76</f>
        <v>209672.935</v>
      </c>
      <c r="E76" s="35"/>
      <c r="F76" s="35"/>
      <c r="G76" s="35"/>
      <c r="J76" s="35"/>
      <c r="K76" s="35"/>
      <c r="L76" s="35"/>
      <c r="M76" s="35"/>
    </row>
    <row r="77" spans="1:13" x14ac:dyDescent="0.25">
      <c r="B77" t="s">
        <v>111</v>
      </c>
      <c r="C77" s="16">
        <v>5.0000000000000001E-3</v>
      </c>
      <c r="D77" s="32">
        <f>+$E$5*C77</f>
        <v>209672.935</v>
      </c>
      <c r="E77" s="35"/>
      <c r="F77" s="35"/>
      <c r="G77" s="35"/>
      <c r="J77" s="35"/>
      <c r="K77" s="35"/>
      <c r="L77" s="35"/>
      <c r="M77" s="35"/>
    </row>
    <row r="78" spans="1:13" x14ac:dyDescent="0.25">
      <c r="B78" s="1" t="s">
        <v>112</v>
      </c>
      <c r="C78" s="16"/>
      <c r="D78" s="35"/>
      <c r="E78" s="35"/>
      <c r="F78" s="35"/>
      <c r="G78" s="35"/>
      <c r="J78" s="35"/>
      <c r="K78" s="35"/>
      <c r="L78" s="35"/>
      <c r="M78" s="35"/>
    </row>
    <row r="79" spans="1:13" x14ac:dyDescent="0.25">
      <c r="B79" t="s">
        <v>99</v>
      </c>
      <c r="C79" s="16">
        <v>5.0000000000000001E-3</v>
      </c>
      <c r="D79" s="32">
        <f t="shared" ref="D79:D84" si="5">+$E$5*C79</f>
        <v>209672.935</v>
      </c>
      <c r="E79" s="35"/>
      <c r="F79" s="35"/>
      <c r="G79" s="35"/>
      <c r="J79" s="35"/>
      <c r="K79" s="35"/>
      <c r="L79" s="35"/>
      <c r="M79" s="35"/>
    </row>
    <row r="80" spans="1:13" x14ac:dyDescent="0.25">
      <c r="B80" t="s">
        <v>100</v>
      </c>
      <c r="C80" s="16">
        <v>5.0000000000000001E-3</v>
      </c>
      <c r="D80" s="32">
        <f t="shared" si="5"/>
        <v>209672.935</v>
      </c>
      <c r="E80" s="35"/>
      <c r="F80" s="35"/>
      <c r="G80" s="35"/>
      <c r="J80" s="35"/>
      <c r="K80" s="35"/>
      <c r="L80" s="35"/>
      <c r="M80" s="35"/>
    </row>
    <row r="81" spans="1:13" x14ac:dyDescent="0.25">
      <c r="B81" t="s">
        <v>101</v>
      </c>
      <c r="C81" s="16">
        <v>5.0000000000000001E-3</v>
      </c>
      <c r="D81" s="32">
        <f t="shared" si="5"/>
        <v>209672.935</v>
      </c>
      <c r="E81" s="35"/>
      <c r="F81" s="35"/>
      <c r="G81" s="35"/>
      <c r="J81" s="35"/>
      <c r="K81" s="35"/>
      <c r="L81" s="35"/>
      <c r="M81" s="35"/>
    </row>
    <row r="82" spans="1:13" x14ac:dyDescent="0.25">
      <c r="B82" t="s">
        <v>102</v>
      </c>
      <c r="C82" s="16">
        <v>5.0000000000000001E-3</v>
      </c>
      <c r="D82" s="32">
        <f t="shared" si="5"/>
        <v>209672.935</v>
      </c>
      <c r="E82" s="35"/>
      <c r="F82" s="35"/>
      <c r="G82" s="35"/>
      <c r="J82" s="35"/>
      <c r="K82" s="35"/>
      <c r="L82" s="35"/>
      <c r="M82" s="35"/>
    </row>
    <row r="83" spans="1:13" x14ac:dyDescent="0.25">
      <c r="B83" t="s">
        <v>103</v>
      </c>
      <c r="C83" s="16">
        <v>5.0000000000000001E-3</v>
      </c>
      <c r="D83" s="32">
        <f t="shared" si="5"/>
        <v>209672.935</v>
      </c>
      <c r="E83" s="35"/>
      <c r="F83" s="35"/>
      <c r="G83" s="35"/>
      <c r="J83" s="35"/>
      <c r="K83" s="35"/>
      <c r="L83" s="35"/>
      <c r="M83" s="35"/>
    </row>
    <row r="84" spans="1:13" x14ac:dyDescent="0.25">
      <c r="B84" t="s">
        <v>104</v>
      </c>
      <c r="C84" s="16">
        <v>5.0000000000000001E-3</v>
      </c>
      <c r="D84" s="32">
        <f t="shared" si="5"/>
        <v>209672.935</v>
      </c>
      <c r="E84" s="35"/>
      <c r="F84" s="35"/>
      <c r="G84" s="35"/>
      <c r="J84" s="35"/>
      <c r="K84" s="35"/>
      <c r="L84" s="35"/>
      <c r="M84" s="35"/>
    </row>
    <row r="85" spans="1:13" x14ac:dyDescent="0.25">
      <c r="B85" s="1" t="s">
        <v>40</v>
      </c>
      <c r="C85" s="16"/>
      <c r="D85" s="35"/>
      <c r="E85" s="33">
        <f>SUM(D73:D84)</f>
        <v>2096729.3500000003</v>
      </c>
      <c r="F85" s="38"/>
      <c r="G85" s="115" t="s">
        <v>256</v>
      </c>
      <c r="H85" s="2">
        <v>40337</v>
      </c>
      <c r="I85" s="2"/>
      <c r="J85" s="33">
        <v>2096729.3500000003</v>
      </c>
      <c r="K85" s="33">
        <v>0</v>
      </c>
      <c r="L85" s="33">
        <f>J85-K85</f>
        <v>2096729.3500000003</v>
      </c>
      <c r="M85" s="35" t="s">
        <v>253</v>
      </c>
    </row>
    <row r="86" spans="1:13" x14ac:dyDescent="0.25">
      <c r="B86" s="1"/>
      <c r="C86" s="16"/>
      <c r="D86" s="70" t="s">
        <v>201</v>
      </c>
      <c r="E86" s="34">
        <f>E85*12%</f>
        <v>251607.52200000003</v>
      </c>
      <c r="F86" s="38"/>
      <c r="G86" s="38"/>
      <c r="J86" s="34">
        <f>J85*12%</f>
        <v>251607.52200000003</v>
      </c>
      <c r="K86" s="34">
        <v>0</v>
      </c>
      <c r="L86" s="34">
        <f>J86-K86</f>
        <v>251607.52200000003</v>
      </c>
      <c r="M86" s="35"/>
    </row>
    <row r="87" spans="1:13" x14ac:dyDescent="0.25">
      <c r="B87" s="1"/>
      <c r="C87" s="16"/>
      <c r="D87" s="70" t="s">
        <v>202</v>
      </c>
      <c r="E87" s="72">
        <f>-E85*4.5%</f>
        <v>-94352.820750000014</v>
      </c>
      <c r="F87" s="38"/>
      <c r="G87" s="38"/>
      <c r="J87" s="72">
        <f>-J85*4.5%</f>
        <v>-94352.820750000014</v>
      </c>
      <c r="K87" s="72">
        <v>0</v>
      </c>
      <c r="L87" s="72">
        <f>J87-K87</f>
        <v>-94352.820750000014</v>
      </c>
      <c r="M87" s="35"/>
    </row>
    <row r="88" spans="1:13" x14ac:dyDescent="0.25">
      <c r="B88" s="1"/>
      <c r="C88" s="16"/>
      <c r="D88" s="70" t="s">
        <v>41</v>
      </c>
      <c r="E88" s="34">
        <f>SUM(E85:E87)</f>
        <v>2253984.0512500005</v>
      </c>
      <c r="F88" s="38"/>
      <c r="G88" s="38"/>
      <c r="J88" s="34">
        <f>SUM(J85:J87)</f>
        <v>2253984.0512500005</v>
      </c>
      <c r="K88" s="34">
        <v>0</v>
      </c>
      <c r="L88" s="34">
        <f>J88-K88</f>
        <v>2253984.0512500005</v>
      </c>
      <c r="M88" s="35"/>
    </row>
    <row r="89" spans="1:13" x14ac:dyDescent="0.25">
      <c r="B89" s="1" t="s">
        <v>39</v>
      </c>
      <c r="C89" s="16"/>
      <c r="D89" s="35"/>
      <c r="E89" s="35"/>
      <c r="F89" s="35"/>
      <c r="G89" s="35"/>
      <c r="J89" s="35"/>
      <c r="K89" s="35"/>
      <c r="L89" s="35"/>
      <c r="M89" s="35"/>
    </row>
    <row r="90" spans="1:13" ht="30" x14ac:dyDescent="0.25">
      <c r="A90" s="1" t="s">
        <v>113</v>
      </c>
      <c r="B90" s="21" t="s">
        <v>114</v>
      </c>
      <c r="C90" s="16">
        <v>0.01</v>
      </c>
      <c r="D90" s="32">
        <f t="shared" ref="D90:D95" si="6">+$E$5*C90</f>
        <v>419345.87</v>
      </c>
      <c r="E90" s="35"/>
      <c r="F90" s="35"/>
      <c r="G90" s="35"/>
      <c r="J90" s="35"/>
      <c r="K90" s="35"/>
      <c r="L90" s="35"/>
      <c r="M90" s="35"/>
    </row>
    <row r="91" spans="1:13" ht="19.5" customHeight="1" x14ac:dyDescent="0.25">
      <c r="B91" s="21" t="s">
        <v>115</v>
      </c>
      <c r="C91" s="16">
        <v>0.01</v>
      </c>
      <c r="D91" s="32">
        <f t="shared" si="6"/>
        <v>419345.87</v>
      </c>
      <c r="E91" s="35"/>
      <c r="F91" s="35"/>
      <c r="G91" s="35"/>
      <c r="J91" s="35"/>
      <c r="K91" s="35"/>
      <c r="L91" s="35"/>
      <c r="M91" s="35"/>
    </row>
    <row r="92" spans="1:13" ht="30" x14ac:dyDescent="0.25">
      <c r="B92" s="21" t="s">
        <v>116</v>
      </c>
      <c r="C92" s="16">
        <v>0.01</v>
      </c>
      <c r="D92" s="32">
        <f t="shared" si="6"/>
        <v>419345.87</v>
      </c>
      <c r="E92" s="35"/>
      <c r="F92" s="35"/>
      <c r="G92" s="35"/>
      <c r="J92" s="35"/>
      <c r="K92" s="35"/>
      <c r="L92" s="35"/>
      <c r="M92" s="35"/>
    </row>
    <row r="93" spans="1:13" ht="45" x14ac:dyDescent="0.25">
      <c r="B93" s="21" t="s">
        <v>117</v>
      </c>
      <c r="C93" s="16">
        <v>0.01</v>
      </c>
      <c r="D93" s="32">
        <f t="shared" si="6"/>
        <v>419345.87</v>
      </c>
      <c r="E93" s="35"/>
      <c r="F93" s="35"/>
      <c r="G93" s="35"/>
      <c r="J93" s="35"/>
      <c r="K93" s="35"/>
      <c r="L93" s="35"/>
      <c r="M93" s="35"/>
    </row>
    <row r="94" spans="1:13" x14ac:dyDescent="0.25">
      <c r="B94" s="54" t="s">
        <v>118</v>
      </c>
      <c r="C94" s="16">
        <v>5.0000000000000001E-3</v>
      </c>
      <c r="D94" s="32">
        <f t="shared" si="6"/>
        <v>209672.935</v>
      </c>
      <c r="E94" s="35"/>
      <c r="F94" s="35"/>
      <c r="G94" s="35"/>
      <c r="J94" s="35"/>
      <c r="K94" s="35"/>
      <c r="L94" s="35"/>
      <c r="M94" s="35"/>
    </row>
    <row r="95" spans="1:13" x14ac:dyDescent="0.25">
      <c r="B95" s="54" t="s">
        <v>119</v>
      </c>
      <c r="C95" s="16">
        <v>5.0000000000000001E-3</v>
      </c>
      <c r="D95" s="32">
        <f t="shared" si="6"/>
        <v>209672.935</v>
      </c>
      <c r="E95" s="35"/>
      <c r="F95" s="35"/>
      <c r="G95" s="35"/>
      <c r="J95" s="35"/>
      <c r="K95" s="35"/>
      <c r="L95" s="35"/>
      <c r="M95" s="35"/>
    </row>
    <row r="96" spans="1:13" x14ac:dyDescent="0.25">
      <c r="B96" s="1" t="s">
        <v>120</v>
      </c>
      <c r="D96" s="35"/>
      <c r="E96" s="33">
        <f>SUM(D90:D95)</f>
        <v>2096729.35</v>
      </c>
      <c r="F96" s="38"/>
      <c r="G96" s="115" t="s">
        <v>256</v>
      </c>
      <c r="H96" s="2">
        <v>40337</v>
      </c>
      <c r="I96" s="2"/>
      <c r="J96" s="33">
        <v>2096729.35</v>
      </c>
      <c r="K96" s="33">
        <v>0</v>
      </c>
      <c r="L96" s="33">
        <f>J96-K96</f>
        <v>2096729.35</v>
      </c>
      <c r="M96" s="35" t="s">
        <v>253</v>
      </c>
    </row>
    <row r="97" spans="1:13" x14ac:dyDescent="0.25">
      <c r="B97" s="1"/>
      <c r="D97" s="70" t="s">
        <v>201</v>
      </c>
      <c r="E97" s="34">
        <f>E96*12%</f>
        <v>251607.522</v>
      </c>
      <c r="F97" s="38"/>
      <c r="G97" s="38"/>
      <c r="J97" s="34">
        <f>J96*12%</f>
        <v>251607.522</v>
      </c>
      <c r="K97" s="34">
        <v>0</v>
      </c>
      <c r="L97" s="34">
        <f>J97-K97</f>
        <v>251607.522</v>
      </c>
      <c r="M97" s="35"/>
    </row>
    <row r="98" spans="1:13" x14ac:dyDescent="0.25">
      <c r="B98" s="1"/>
      <c r="D98" s="70" t="s">
        <v>202</v>
      </c>
      <c r="E98" s="72">
        <f>-E96*4.5%</f>
        <v>-94352.820749999999</v>
      </c>
      <c r="F98" s="38"/>
      <c r="G98" s="38"/>
      <c r="J98" s="72">
        <f>-J96*4.5%</f>
        <v>-94352.820749999999</v>
      </c>
      <c r="K98" s="72">
        <v>0</v>
      </c>
      <c r="L98" s="72">
        <f>J98-K98</f>
        <v>-94352.820749999999</v>
      </c>
      <c r="M98" s="35"/>
    </row>
    <row r="99" spans="1:13" x14ac:dyDescent="0.25">
      <c r="B99" s="1"/>
      <c r="D99" s="70" t="s">
        <v>41</v>
      </c>
      <c r="E99" s="34">
        <f>SUM(E96:E98)</f>
        <v>2253984.05125</v>
      </c>
      <c r="F99" s="38"/>
      <c r="G99" s="38"/>
      <c r="J99" s="34">
        <f>SUM(J96:J98)</f>
        <v>2253984.05125</v>
      </c>
      <c r="K99" s="34">
        <v>0</v>
      </c>
      <c r="L99" s="34">
        <f>J99-K99</f>
        <v>2253984.05125</v>
      </c>
      <c r="M99" s="35"/>
    </row>
    <row r="100" spans="1:13" x14ac:dyDescent="0.25">
      <c r="B100" s="1"/>
      <c r="D100" s="35"/>
      <c r="E100" s="38"/>
      <c r="F100" s="38"/>
      <c r="G100" s="38"/>
      <c r="J100" s="38"/>
      <c r="K100" s="38"/>
      <c r="L100" s="38"/>
      <c r="M100" s="35"/>
    </row>
    <row r="101" spans="1:13" x14ac:dyDescent="0.25">
      <c r="B101" s="74" t="s">
        <v>203</v>
      </c>
      <c r="C101" s="75">
        <f>SUM(C7:C95)</f>
        <v>1.0000000000000004</v>
      </c>
      <c r="D101" s="69"/>
      <c r="E101" s="76">
        <f>SUM(E7,E19,E24,E31,E42,E60,E68,E85,E96)</f>
        <v>41934587.000000007</v>
      </c>
      <c r="F101" s="40"/>
      <c r="G101" s="40"/>
      <c r="J101" s="76">
        <f t="shared" ref="J101:K103" si="7">SUM(J7,J19,J24,J31,J42,J60,J68,J85,J96)</f>
        <v>41934587.000000007</v>
      </c>
      <c r="K101" s="76">
        <f t="shared" si="7"/>
        <v>29354211.199999996</v>
      </c>
      <c r="L101" s="76">
        <f>J101-K101</f>
        <v>12580375.800000012</v>
      </c>
      <c r="M101" s="35"/>
    </row>
    <row r="102" spans="1:13" x14ac:dyDescent="0.25">
      <c r="A102" s="1"/>
      <c r="B102" s="80" t="s">
        <v>201</v>
      </c>
      <c r="C102" s="77"/>
      <c r="D102" s="77"/>
      <c r="E102" s="81">
        <f>SUM(E8,E20,E25,E32,E43,E61,E69,E86,E97)</f>
        <v>5032150.4399999995</v>
      </c>
      <c r="J102" s="81">
        <f t="shared" si="7"/>
        <v>5032150.4399999995</v>
      </c>
      <c r="K102" s="81">
        <f t="shared" si="7"/>
        <v>3522505.3439999996</v>
      </c>
      <c r="L102" s="81">
        <f>J102-K102</f>
        <v>1509645.0959999999</v>
      </c>
      <c r="M102" s="81"/>
    </row>
    <row r="103" spans="1:13" x14ac:dyDescent="0.25">
      <c r="B103" s="80" t="s">
        <v>202</v>
      </c>
      <c r="C103" s="77"/>
      <c r="D103" s="77"/>
      <c r="E103" s="81">
        <f>SUM(E9,E21,E26,E33,E44,E62,E70,E87,E98)</f>
        <v>-1887056.4149999998</v>
      </c>
      <c r="J103" s="81">
        <f t="shared" si="7"/>
        <v>-1887056.4149999998</v>
      </c>
      <c r="K103" s="81">
        <f t="shared" si="7"/>
        <v>-1320939.504</v>
      </c>
      <c r="L103" s="81">
        <f>J103-K103</f>
        <v>-566116.91099999985</v>
      </c>
      <c r="M103" s="81"/>
    </row>
    <row r="104" spans="1:13" x14ac:dyDescent="0.25">
      <c r="B104" s="74" t="s">
        <v>41</v>
      </c>
      <c r="C104" s="77"/>
      <c r="D104" s="77"/>
      <c r="E104" s="78">
        <f>SUM(E101:E103)</f>
        <v>45079681.025000006</v>
      </c>
      <c r="J104" s="78">
        <f>SUM(J101:J103)</f>
        <v>45079681.025000006</v>
      </c>
      <c r="K104" s="78">
        <f>SUM(K101:K103)</f>
        <v>31555777.039999995</v>
      </c>
      <c r="L104" s="78">
        <f>J104-K104</f>
        <v>13523903.985000011</v>
      </c>
      <c r="M104" s="78"/>
    </row>
  </sheetData>
  <phoneticPr fontId="7" type="noConversion"/>
  <pageMargins left="0.7" right="0.7" top="0.75" bottom="0.75" header="0.3" footer="0.3"/>
  <pageSetup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24"/>
  <sheetViews>
    <sheetView workbookViewId="0">
      <selection activeCell="G16" sqref="G16"/>
    </sheetView>
  </sheetViews>
  <sheetFormatPr defaultRowHeight="15" x14ac:dyDescent="0.25"/>
  <cols>
    <col min="1" max="1" width="35" customWidth="1"/>
    <col min="2" max="2" width="16.140625" style="51" bestFit="1" customWidth="1"/>
    <col min="3" max="3" width="5.28515625" customWidth="1"/>
    <col min="4" max="5" width="12.42578125" bestFit="1" customWidth="1"/>
    <col min="6" max="6" width="12.42578125" style="56" bestFit="1" customWidth="1"/>
    <col min="7" max="7" width="17.28515625" style="56" bestFit="1" customWidth="1"/>
    <col min="8" max="9" width="16.140625" bestFit="1" customWidth="1"/>
    <col min="10" max="10" width="13.42578125" customWidth="1"/>
  </cols>
  <sheetData>
    <row r="1" spans="1:10" x14ac:dyDescent="0.25">
      <c r="A1" s="1" t="s">
        <v>122</v>
      </c>
      <c r="B1" s="55"/>
    </row>
    <row r="2" spans="1:10" x14ac:dyDescent="0.25">
      <c r="A2" s="1" t="s">
        <v>123</v>
      </c>
      <c r="B2" s="55"/>
    </row>
    <row r="3" spans="1:10" x14ac:dyDescent="0.25">
      <c r="A3" t="s">
        <v>124</v>
      </c>
    </row>
    <row r="4" spans="1:10" x14ac:dyDescent="0.25">
      <c r="A4" s="1" t="s">
        <v>9</v>
      </c>
    </row>
    <row r="5" spans="1:10" ht="15.75" thickBot="1" x14ac:dyDescent="0.3"/>
    <row r="6" spans="1:10" x14ac:dyDescent="0.25">
      <c r="A6" s="4"/>
      <c r="B6" s="23" t="s">
        <v>42</v>
      </c>
      <c r="D6" s="7" t="s">
        <v>10</v>
      </c>
      <c r="E6" s="7" t="s">
        <v>10</v>
      </c>
      <c r="F6" s="6" t="s">
        <v>125</v>
      </c>
      <c r="G6" s="24" t="s">
        <v>222</v>
      </c>
      <c r="H6" s="4" t="s">
        <v>11</v>
      </c>
      <c r="I6" s="24" t="s">
        <v>204</v>
      </c>
      <c r="J6" s="83" t="s">
        <v>205</v>
      </c>
    </row>
    <row r="7" spans="1:10" ht="15.75" thickBot="1" x14ac:dyDescent="0.3">
      <c r="A7" s="9" t="s">
        <v>126</v>
      </c>
      <c r="B7" s="29" t="s">
        <v>14</v>
      </c>
      <c r="D7" s="11" t="s">
        <v>73</v>
      </c>
      <c r="E7" s="11" t="s">
        <v>17</v>
      </c>
      <c r="F7" s="10" t="s">
        <v>17</v>
      </c>
      <c r="G7" s="29"/>
      <c r="H7" s="9" t="s">
        <v>14</v>
      </c>
      <c r="I7" s="29"/>
      <c r="J7" s="31"/>
    </row>
    <row r="9" spans="1:10" x14ac:dyDescent="0.25">
      <c r="A9" s="1" t="s">
        <v>128</v>
      </c>
      <c r="B9" s="35"/>
      <c r="C9" s="35"/>
      <c r="D9" s="35"/>
      <c r="E9" s="35"/>
      <c r="F9" s="57"/>
      <c r="G9" s="57"/>
      <c r="H9" s="35"/>
    </row>
    <row r="10" spans="1:10" x14ac:dyDescent="0.25">
      <c r="A10" t="s">
        <v>127</v>
      </c>
      <c r="B10" s="35">
        <v>9890000</v>
      </c>
      <c r="C10" s="35"/>
      <c r="D10" s="65">
        <v>10878</v>
      </c>
      <c r="E10" s="59">
        <v>40088</v>
      </c>
      <c r="F10" s="67">
        <v>40096</v>
      </c>
      <c r="G10" s="101">
        <f>B10</f>
        <v>9890000</v>
      </c>
      <c r="H10" s="68">
        <f>G10</f>
        <v>9890000</v>
      </c>
      <c r="I10" s="102">
        <f>G10-H10</f>
        <v>0</v>
      </c>
      <c r="J10" s="131">
        <v>1E-3</v>
      </c>
    </row>
    <row r="11" spans="1:10" x14ac:dyDescent="0.25">
      <c r="B11" s="35">
        <f>-2.1%*B10</f>
        <v>-207690</v>
      </c>
      <c r="C11" s="35"/>
      <c r="D11" s="65"/>
      <c r="E11" s="59"/>
      <c r="F11" s="67"/>
      <c r="G11" s="35">
        <f>-2.1%*G10</f>
        <v>-207690</v>
      </c>
      <c r="H11" s="68">
        <f>-0.1%*H10</f>
        <v>-9890</v>
      </c>
      <c r="I11" s="102">
        <f>G11-H11</f>
        <v>-197800</v>
      </c>
      <c r="J11" s="131"/>
    </row>
    <row r="12" spans="1:10" x14ac:dyDescent="0.25">
      <c r="B12" s="35">
        <f>SUM(B10:B11)</f>
        <v>9682310</v>
      </c>
      <c r="C12" s="35"/>
      <c r="D12" s="65"/>
      <c r="E12" s="59"/>
      <c r="F12" s="67"/>
      <c r="G12" s="35">
        <f>SUM(G10:G11)</f>
        <v>9682310</v>
      </c>
      <c r="H12" s="68">
        <f>SUM(H10:H11)</f>
        <v>9880110</v>
      </c>
      <c r="I12" s="102">
        <f>G12-H12</f>
        <v>-197800</v>
      </c>
      <c r="J12" s="131"/>
    </row>
    <row r="13" spans="1:10" x14ac:dyDescent="0.25">
      <c r="B13" s="35"/>
      <c r="C13" s="35"/>
      <c r="D13" s="65"/>
      <c r="E13" s="59"/>
      <c r="F13" s="67"/>
      <c r="G13" s="101"/>
      <c r="H13" s="68"/>
      <c r="I13" s="102"/>
      <c r="J13" s="131"/>
    </row>
    <row r="14" spans="1:10" x14ac:dyDescent="0.25">
      <c r="A14" t="s">
        <v>129</v>
      </c>
      <c r="B14" s="35">
        <v>4945000</v>
      </c>
      <c r="C14" s="35"/>
      <c r="D14" s="81" t="s">
        <v>200</v>
      </c>
      <c r="E14" s="108">
        <v>40254</v>
      </c>
      <c r="F14" s="67">
        <v>40185</v>
      </c>
      <c r="G14" s="110">
        <f>B14</f>
        <v>4945000</v>
      </c>
      <c r="H14" s="35">
        <f>G14</f>
        <v>4945000</v>
      </c>
      <c r="I14" s="102">
        <f>G14-H14</f>
        <v>0</v>
      </c>
      <c r="J14" s="131">
        <v>4.1000000000000002E-2</v>
      </c>
    </row>
    <row r="15" spans="1:10" x14ac:dyDescent="0.25">
      <c r="B15" s="35">
        <f>-2.1%*B14</f>
        <v>-103845</v>
      </c>
      <c r="C15" s="35"/>
      <c r="D15" s="81"/>
      <c r="E15" s="108"/>
      <c r="F15" s="109"/>
      <c r="G15" s="35">
        <f>-2.1%*G14</f>
        <v>-103845</v>
      </c>
      <c r="H15" s="35">
        <f>G15+I11</f>
        <v>-301645</v>
      </c>
      <c r="I15" s="102">
        <f>G15-H15</f>
        <v>197800</v>
      </c>
      <c r="J15" s="131"/>
    </row>
    <row r="16" spans="1:10" x14ac:dyDescent="0.25">
      <c r="B16" s="35">
        <f>SUM(B14:B15)</f>
        <v>4841155</v>
      </c>
      <c r="C16" s="35"/>
      <c r="D16" s="81"/>
      <c r="E16" s="108"/>
      <c r="F16" s="109"/>
      <c r="G16" s="35">
        <f>SUM(G14:G15)</f>
        <v>4841155</v>
      </c>
      <c r="H16" s="35">
        <f>SUM(H14:H15)</f>
        <v>4643355</v>
      </c>
      <c r="I16" s="102">
        <f>G16-H16</f>
        <v>197800</v>
      </c>
      <c r="J16" s="131"/>
    </row>
    <row r="17" spans="1:10" x14ac:dyDescent="0.25">
      <c r="B17" s="35"/>
      <c r="C17" s="35"/>
      <c r="D17" s="81"/>
      <c r="E17" s="108"/>
      <c r="F17" s="109"/>
      <c r="G17" s="110"/>
      <c r="H17" s="35"/>
      <c r="I17" s="102"/>
      <c r="J17" s="131"/>
    </row>
    <row r="18" spans="1:10" x14ac:dyDescent="0.25">
      <c r="A18" t="s">
        <v>130</v>
      </c>
      <c r="B18" s="35">
        <v>4945000</v>
      </c>
      <c r="C18" s="35"/>
      <c r="D18" s="36"/>
      <c r="E18" s="108">
        <v>40254</v>
      </c>
      <c r="F18" s="109"/>
      <c r="G18" s="110">
        <f>B18</f>
        <v>4945000</v>
      </c>
      <c r="H18" s="35"/>
      <c r="I18" s="102">
        <f>G18-H18</f>
        <v>4945000</v>
      </c>
      <c r="J18" s="102"/>
    </row>
    <row r="19" spans="1:10" x14ac:dyDescent="0.25">
      <c r="B19" s="35">
        <f>-2.1%*B18</f>
        <v>-103845</v>
      </c>
      <c r="C19" s="35"/>
      <c r="D19" s="36"/>
      <c r="E19" s="108"/>
      <c r="F19" s="109"/>
      <c r="G19" s="110"/>
      <c r="H19" s="35"/>
      <c r="I19" s="102"/>
      <c r="J19" s="102"/>
    </row>
    <row r="20" spans="1:10" x14ac:dyDescent="0.25">
      <c r="B20" s="35"/>
      <c r="C20" s="35"/>
      <c r="D20" s="36"/>
      <c r="E20" s="108"/>
      <c r="F20" s="109"/>
      <c r="G20" s="110"/>
      <c r="H20" s="35"/>
      <c r="I20" s="102"/>
      <c r="J20" s="102"/>
    </row>
    <row r="21" spans="1:10" x14ac:dyDescent="0.25">
      <c r="B21" s="35"/>
      <c r="C21" s="35"/>
      <c r="D21" s="36"/>
      <c r="E21" s="108"/>
      <c r="F21" s="109"/>
      <c r="G21" s="110"/>
      <c r="H21" s="35"/>
      <c r="I21" s="102"/>
      <c r="J21" s="102"/>
    </row>
    <row r="22" spans="1:10" ht="15.75" thickBot="1" x14ac:dyDescent="0.3">
      <c r="A22" s="71" t="s">
        <v>211</v>
      </c>
      <c r="B22" s="39">
        <f>B10+B14+B18</f>
        <v>19780000</v>
      </c>
      <c r="C22" s="35"/>
      <c r="D22" s="35"/>
      <c r="E22" s="59"/>
      <c r="F22" s="57"/>
      <c r="G22" s="39">
        <f>SUM(G10:G18)</f>
        <v>33991930</v>
      </c>
      <c r="H22" s="39">
        <f>SUM(H10:H18)</f>
        <v>29046930</v>
      </c>
      <c r="I22" s="39">
        <f>G22-H22</f>
        <v>4945000</v>
      </c>
      <c r="J22" s="35" t="s">
        <v>165</v>
      </c>
    </row>
    <row r="23" spans="1:10" ht="15.75" thickTop="1" x14ac:dyDescent="0.25"/>
    <row r="24" spans="1:10" x14ac:dyDescent="0.25">
      <c r="H24" s="51"/>
      <c r="I24" s="51"/>
    </row>
  </sheetData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Tacoa Consolidated</vt:lpstr>
      <vt:lpstr>VEF Invoicing Summary</vt:lpstr>
      <vt:lpstr>Summary Data</vt:lpstr>
      <vt:lpstr>Change Order Summary</vt:lpstr>
      <vt:lpstr>Datos</vt:lpstr>
      <vt:lpstr>Tacoa 2500</vt:lpstr>
      <vt:lpstr>Tacoa 6000</vt:lpstr>
      <vt:lpstr>La Raisa</vt:lpstr>
      <vt:lpstr>Termozulia</vt:lpstr>
      <vt:lpstr>Guarenas</vt:lpstr>
      <vt:lpstr>Las Morochas</vt:lpstr>
      <vt:lpstr>Furrial</vt:lpstr>
      <vt:lpstr>'La Raisa'!Print_Area</vt:lpstr>
      <vt:lpstr>'Tacoa 2500'!Print_Area</vt:lpstr>
      <vt:lpstr>'Tacoa 6000'!Print_Area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Gloria Bohrt</cp:lastModifiedBy>
  <cp:lastPrinted>2010-06-16T18:35:37Z</cp:lastPrinted>
  <dcterms:created xsi:type="dcterms:W3CDTF">2010-05-19T18:24:13Z</dcterms:created>
  <dcterms:modified xsi:type="dcterms:W3CDTF">2014-04-25T21:14:14Z</dcterms:modified>
</cp:coreProperties>
</file>